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16" yWindow="65431" windowWidth="30840" windowHeight="11640" activeTab="0"/>
  </bookViews>
  <sheets>
    <sheet name="メインシート" sheetId="1" r:id="rId1"/>
    <sheet name="Sheet2" sheetId="2" r:id="rId2"/>
    <sheet name="Sheet3" sheetId="3" r:id="rId3"/>
  </sheets>
  <definedNames>
    <definedName name="_xlnm.Print_Area" localSheetId="0">'メインシート'!$B$2:$S$67</definedName>
  </definedNames>
  <calcPr fullCalcOnLoad="1"/>
</workbook>
</file>

<file path=xl/sharedStrings.xml><?xml version="1.0" encoding="utf-8"?>
<sst xmlns="http://schemas.openxmlformats.org/spreadsheetml/2006/main" count="99" uniqueCount="83">
  <si>
    <t>増加率（B）</t>
  </si>
  <si>
    <t>2009年</t>
  </si>
  <si>
    <t>2010年</t>
  </si>
  <si>
    <t>2011年</t>
  </si>
  <si>
    <t>2012年</t>
  </si>
  <si>
    <t>2013年</t>
  </si>
  <si>
    <t>2014年</t>
  </si>
  <si>
    <t>2015年</t>
  </si>
  <si>
    <t>2016年</t>
  </si>
  <si>
    <t>2017年</t>
  </si>
  <si>
    <t>2018年</t>
  </si>
  <si>
    <t>2019年</t>
  </si>
  <si>
    <t>2020年</t>
  </si>
  <si>
    <t>2021年</t>
  </si>
  <si>
    <t>2023年</t>
  </si>
  <si>
    <t>2024年</t>
  </si>
  <si>
    <t>2022年</t>
  </si>
  <si>
    <t>投資期間</t>
  </si>
  <si>
    <t>初年度申込者数</t>
  </si>
  <si>
    <t>北海道</t>
  </si>
  <si>
    <t>売上（2005年）</t>
  </si>
  <si>
    <t>売上（2009年）</t>
  </si>
  <si>
    <t>成長率（C)</t>
  </si>
  <si>
    <t>東北</t>
  </si>
  <si>
    <t>東京</t>
  </si>
  <si>
    <t>中部</t>
  </si>
  <si>
    <t>北陸</t>
  </si>
  <si>
    <t>関西</t>
  </si>
  <si>
    <t>中国</t>
  </si>
  <si>
    <t>四国</t>
  </si>
  <si>
    <t>九州</t>
  </si>
  <si>
    <t>沖縄</t>
  </si>
  <si>
    <t>合計</t>
  </si>
  <si>
    <t>(単位：百万円）</t>
  </si>
  <si>
    <t>10大電力会社の売上高合計と成長率（C)</t>
  </si>
  <si>
    <t>1ｋｗｈ当たりの買取単価(F)</t>
  </si>
  <si>
    <t>設置者１軒当りの売電収入</t>
  </si>
  <si>
    <t>原資となる電力料金への課徴金パーセンテージ</t>
  </si>
  <si>
    <t>初年度の1kw当りの買取単価（ｋｗｈ当たり）</t>
  </si>
  <si>
    <t>1世帯当りの太陽光パネル設置容量（kw）</t>
  </si>
  <si>
    <t>平均正味発電時間(hour)</t>
  </si>
  <si>
    <t>毎年の買取単価引き下げ率</t>
  </si>
  <si>
    <t>毎年調達できる買い上げ原資（単位：億円）</t>
  </si>
  <si>
    <t>買い上げ原資の累計額（単位：億円）</t>
  </si>
  <si>
    <t>当年度に新規に申し込む設置者の電力を買い上げる際に必要となるソーラー電力買い上げ支出額（単位：億円）</t>
  </si>
  <si>
    <t>http://jp.moneycentral.msn.com/investor/invsub/results/statemnt.aspx?symbol=JP%3a9501</t>
  </si>
  <si>
    <t>出所：マイクロソフトネットワークのホームページ</t>
  </si>
  <si>
    <t>太陽光発電設置申し込み者数（単年度）（単位：世帯）</t>
  </si>
  <si>
    <t>太陽光発電設置申し込み者の累積数（単位：世帯）</t>
  </si>
  <si>
    <t>以前からの設置者への支払いも合計した当年度ソーラー電力買い上げ支出額累計（単位：億円）</t>
  </si>
  <si>
    <t>単年度の太陽光パネル設置キロワット数</t>
  </si>
  <si>
    <t>累積の太陽光パネル設置キロワット数</t>
  </si>
  <si>
    <t>10大電力会社の電力売上高合計（単位：億円）</t>
  </si>
  <si>
    <t>ソーラー電力の買い上げ金支出後の買い上げ原資の残金額（単位：億円）</t>
  </si>
  <si>
    <r>
      <rPr>
        <b/>
        <sz val="11"/>
        <color indexed="17"/>
        <rFont val="ＭＳ Ｐゴシック"/>
        <family val="3"/>
      </rPr>
      <t>緑色</t>
    </r>
    <r>
      <rPr>
        <sz val="11"/>
        <color theme="1"/>
        <rFont val="Calibri"/>
        <family val="3"/>
      </rPr>
      <t>は政策立案者が自身で入力＆変更可能な数字→</t>
    </r>
  </si>
  <si>
    <t>②　普及世帯数は2024年時点で5838万世帯</t>
  </si>
  <si>
    <t>太陽光発電容量の総発電容量に占めるシェア</t>
  </si>
  <si>
    <t>日本の総発電容量（ＫＷ）</t>
  </si>
  <si>
    <t>設置した年＆固定買取がスタートした年次</t>
  </si>
  <si>
    <t>固定価格買い上げ支出額合計</t>
  </si>
  <si>
    <t>単位：億円</t>
  </si>
  <si>
    <t>出所：日本の総発電容量　経済産業省「電力需給の概要」、「電力調査月報」、電気事業連合会「電気事業便覧」、　太陽光発電の総発電容量：IEA PVPS Task 1</t>
  </si>
  <si>
    <t>太陽光発電の総発電容量（ＫＷ）</t>
  </si>
  <si>
    <t>発電パネルの発電効率の経年劣化率→</t>
  </si>
  <si>
    <t>③　2024年に日本の発電容量全体に占める太陽光発電容量の割合は28.4％</t>
  </si>
  <si>
    <t>単位：億円</t>
  </si>
  <si>
    <t>マクロ経済効果</t>
  </si>
  <si>
    <t>太陽光設備購入による需要創出金額--中間材需要</t>
  </si>
  <si>
    <t>①2022年に政策目標（２００５年比５５倍の77,000ＭＷ）を達成</t>
  </si>
  <si>
    <t>1ｋｗ当たりの設備機器単価</t>
  </si>
  <si>
    <t>設備機器単価の毎年の価格逓減率</t>
  </si>
  <si>
    <t>税収</t>
  </si>
  <si>
    <t>補助金削減効果</t>
  </si>
  <si>
    <t>雇用創出効果</t>
  </si>
  <si>
    <t>太陽光設備購入による需要創出金額--最終消費者需要（億円）</t>
  </si>
  <si>
    <t>我が国の太陽光発電が排出するＣＯ２の量(kg-CO2/kwh)</t>
  </si>
  <si>
    <t>我が国の通常の電力が排出するＣＯ２の量(kg-CO2/kwh)</t>
  </si>
  <si>
    <t>Co2削減効果(トン）</t>
  </si>
  <si>
    <t>排出権購入を回避できた効果（１０００円/トン）で計算</t>
  </si>
  <si>
    <t>排出権購入費用単価</t>
  </si>
  <si>
    <t>１世帯当たりの年間発電量(ｋｗｈ)</t>
  </si>
  <si>
    <t>表-7 買い取り価格+普及予想世帯数+必要な電力課徴収入金額</t>
  </si>
  <si>
    <t>無断転載・複写大歓迎</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</si>
</sst>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Red]\(#,##0\)"/>
    <numFmt numFmtId="180" formatCode="0.0_);[Red]\(0.0\)"/>
    <numFmt numFmtId="181" formatCode="&quot;&quot;##0&quot;年&quot;_);\(#,##0&quot;kwh&quot;\)"/>
    <numFmt numFmtId="182" formatCode="#,##0.000_);[Red]\(#,##0.000\)"/>
    <numFmt numFmtId="183" formatCode="#,##0.0000_);[Red]\(#,##0.0000\)"/>
  </numFmts>
  <fonts count="54">
    <font>
      <sz val="11"/>
      <color theme="1"/>
      <name val="Calibri"/>
      <family val="3"/>
    </font>
    <font>
      <sz val="11"/>
      <color indexed="8"/>
      <name val="ＭＳ Ｐゴシック"/>
      <family val="3"/>
    </font>
    <font>
      <sz val="6"/>
      <name val="ＭＳ Ｐゴシック"/>
      <family val="3"/>
    </font>
    <font>
      <b/>
      <sz val="11"/>
      <color indexed="17"/>
      <name val="ＭＳ Ｐゴシック"/>
      <family val="3"/>
    </font>
    <font>
      <sz val="11"/>
      <color indexed="62"/>
      <name val="ＭＳ Ｐゴシック"/>
      <family val="3"/>
    </font>
    <font>
      <sz val="9"/>
      <color indexed="8"/>
      <name val="ＭＳ Ｐゴシック"/>
      <family val="3"/>
    </font>
    <font>
      <sz val="10"/>
      <color indexed="62"/>
      <name val="ＭＳ Ｐゴシック"/>
      <family val="3"/>
    </font>
    <font>
      <b/>
      <sz val="18"/>
      <color indexed="8"/>
      <name val="ＭＳ Ｐゴシック"/>
      <family val="3"/>
    </font>
    <font>
      <sz val="10"/>
      <color indexed="8"/>
      <name val="ＭＳ Ｐゴシック"/>
      <family val="3"/>
    </font>
    <font>
      <b/>
      <sz val="11"/>
      <color indexed="12"/>
      <name val="ＭＳ Ｐゴシック"/>
      <family val="3"/>
    </font>
    <font>
      <sz val="11"/>
      <name val="ＭＳ Ｐゴシック"/>
      <family val="3"/>
    </font>
    <font>
      <sz val="11"/>
      <color indexed="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rgb="FF3F3F76"/>
      <name val="Calibri"/>
      <family val="3"/>
    </font>
    <font>
      <b/>
      <sz val="18"/>
      <color theme="1"/>
      <name val="Calibri"/>
      <family val="3"/>
    </font>
    <font>
      <sz val="10"/>
      <color theme="1"/>
      <name val="Calibri"/>
      <family val="3"/>
    </font>
    <font>
      <b/>
      <sz val="11"/>
      <color rgb="FF0000FF"/>
      <name val="Calibri"/>
      <family val="3"/>
    </font>
    <font>
      <sz val="11"/>
      <name val="Calibri"/>
      <family val="3"/>
    </font>
    <font>
      <sz val="11"/>
      <color rgb="FF0000FF"/>
      <name val="Calibri"/>
      <family val="3"/>
    </font>
    <font>
      <b/>
      <sz val="12"/>
      <color theme="1"/>
      <name val="Calibri"/>
      <family val="3"/>
    </font>
    <font>
      <b/>
      <sz val="11"/>
      <color rgb="FFFF00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99"/>
        <bgColor indexed="64"/>
      </patternFill>
    </fill>
    <fill>
      <patternFill patternType="solid">
        <fgColor rgb="FFFFFF00"/>
        <bgColor indexed="64"/>
      </patternFill>
    </fill>
    <fill>
      <patternFill patternType="solid">
        <fgColor rgb="FFCCFFCC"/>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ck"/>
      <right style="thin"/>
      <top style="thin"/>
      <bottom style="thin"/>
    </border>
    <border>
      <left style="thick"/>
      <right style="thin"/>
      <top style="thin"/>
      <bottom style="thick"/>
    </border>
    <border>
      <left style="thick"/>
      <right style="thin"/>
      <top style="thick"/>
      <bottom style="thick"/>
    </border>
    <border>
      <left style="thick"/>
      <right style="thick"/>
      <top style="thin"/>
      <bottom style="thin"/>
    </border>
    <border>
      <left style="thick"/>
      <right style="thick"/>
      <top style="thin"/>
      <bottom/>
    </border>
    <border>
      <left style="thick"/>
      <right style="thick"/>
      <top/>
      <bottom style="thin"/>
    </border>
    <border>
      <left style="thick"/>
      <right style="thick"/>
      <top style="thick"/>
      <bottom style="thick"/>
    </border>
    <border>
      <left style="thick"/>
      <right style="thin"/>
      <top/>
      <bottom style="thin"/>
    </border>
    <border>
      <left style="thin"/>
      <right style="thin"/>
      <top/>
      <bottom style="thin"/>
    </border>
    <border>
      <left style="thin"/>
      <right style="thick"/>
      <top/>
      <bottom style="thin"/>
    </border>
    <border>
      <left style="thin"/>
      <right style="thin"/>
      <top style="thick"/>
      <bottom style="thick"/>
    </border>
    <border>
      <left style="thin"/>
      <right style="thick"/>
      <top style="thick"/>
      <bottom style="thick"/>
    </border>
    <border>
      <left/>
      <right style="thin"/>
      <top style="thin"/>
      <bottom style="thin"/>
    </border>
    <border>
      <left/>
      <right style="thin"/>
      <top style="thick"/>
      <bottom style="thick"/>
    </border>
    <border>
      <left/>
      <right style="thin"/>
      <top/>
      <bottom style="thin"/>
    </border>
    <border>
      <left/>
      <right style="thin"/>
      <top style="thin"/>
      <bottom style="thick"/>
    </border>
    <border>
      <left style="thick"/>
      <right style="medium"/>
      <top/>
      <bottom style="thin"/>
    </border>
    <border>
      <left style="thick"/>
      <right style="medium"/>
      <top style="thin"/>
      <bottom style="thin"/>
    </border>
    <border>
      <left style="thick"/>
      <right style="medium"/>
      <top style="thin"/>
      <bottom style="thick"/>
    </border>
    <border>
      <left style="thick"/>
      <right style="medium"/>
      <top style="thick"/>
      <bottom/>
    </border>
    <border>
      <left style="thick"/>
      <right style="medium"/>
      <top style="thick"/>
      <bottom style="thick"/>
    </border>
    <border>
      <left style="thick"/>
      <right/>
      <top style="thick"/>
      <bottom style="thick"/>
    </border>
    <border>
      <left/>
      <right/>
      <top style="thick"/>
      <bottom style="thick"/>
    </border>
    <border>
      <left/>
      <right/>
      <top/>
      <bottom style="thin"/>
    </border>
    <border>
      <left/>
      <right/>
      <top style="thin"/>
      <bottom style="thin"/>
    </border>
    <border>
      <left/>
      <right/>
      <top style="thin"/>
      <bottom/>
    </border>
    <border>
      <left/>
      <right style="thick"/>
      <top style="thick"/>
      <bottom style="thick"/>
    </border>
    <border>
      <left/>
      <right style="thick"/>
      <top/>
      <bottom style="thin"/>
    </border>
    <border>
      <left/>
      <right style="thick"/>
      <top style="thin"/>
      <bottom style="thin"/>
    </border>
    <border>
      <left/>
      <right style="thick"/>
      <top style="thin"/>
      <bottom/>
    </border>
    <border>
      <left style="medium"/>
      <right style="medium"/>
      <top style="thick"/>
      <bottom style="thick"/>
    </border>
    <border>
      <left style="medium"/>
      <right style="medium"/>
      <top/>
      <bottom style="thin"/>
    </border>
    <border>
      <left style="medium"/>
      <right style="medium"/>
      <top style="thin"/>
      <bottom style="thin"/>
    </border>
    <border>
      <left style="medium"/>
      <right style="medium"/>
      <top style="thin"/>
      <bottom/>
    </border>
    <border>
      <left style="medium"/>
      <right style="medium"/>
      <top style="medium"/>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style="thin">
        <color rgb="FF7F7F7F"/>
      </left>
      <right/>
      <top/>
      <bottom/>
    </border>
    <border>
      <left/>
      <right style="thin">
        <color rgb="FF7F7F7F"/>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7">
    <xf numFmtId="0" fontId="0" fillId="0" borderId="0" xfId="0" applyFont="1" applyAlignment="1">
      <alignment vertical="center"/>
    </xf>
    <xf numFmtId="9" fontId="0" fillId="0" borderId="0" xfId="0" applyNumberFormat="1" applyAlignment="1">
      <alignment vertical="center"/>
    </xf>
    <xf numFmtId="176" fontId="0" fillId="0" borderId="0" xfId="0" applyNumberFormat="1" applyAlignment="1">
      <alignment vertical="center"/>
    </xf>
    <xf numFmtId="10" fontId="0" fillId="0" borderId="0" xfId="0" applyNumberFormat="1" applyAlignment="1">
      <alignment vertical="center"/>
    </xf>
    <xf numFmtId="0" fontId="0" fillId="0" borderId="0" xfId="0" applyAlignment="1">
      <alignment horizontal="center" vertical="center" wrapText="1"/>
    </xf>
    <xf numFmtId="0" fontId="45" fillId="0" borderId="0" xfId="0" applyFont="1" applyAlignment="1">
      <alignment horizontal="center" vertical="center" wrapText="1"/>
    </xf>
    <xf numFmtId="0" fontId="0" fillId="0" borderId="0" xfId="0" applyAlignment="1">
      <alignment horizontal="right" vertical="center"/>
    </xf>
    <xf numFmtId="179" fontId="0" fillId="0" borderId="10" xfId="0" applyNumberFormat="1" applyBorder="1" applyAlignment="1">
      <alignment vertical="center"/>
    </xf>
    <xf numFmtId="0" fontId="0" fillId="0" borderId="0" xfId="0" applyAlignment="1">
      <alignment horizontal="right" vertical="center" wrapText="1"/>
    </xf>
    <xf numFmtId="0" fontId="45" fillId="0" borderId="0" xfId="0" applyFont="1" applyAlignment="1">
      <alignment horizontal="left" vertical="center" wrapText="1"/>
    </xf>
    <xf numFmtId="176" fontId="46" fillId="33" borderId="4" xfId="59" applyNumberFormat="1" applyFont="1" applyFill="1" applyAlignment="1">
      <alignment vertical="center" wrapText="1" shrinkToFit="1"/>
    </xf>
    <xf numFmtId="10" fontId="43" fillId="33" borderId="4" xfId="59" applyNumberFormat="1" applyFill="1" applyAlignment="1">
      <alignment vertical="center"/>
    </xf>
    <xf numFmtId="5" fontId="43" fillId="33" borderId="4" xfId="59" applyNumberFormat="1" applyFill="1" applyAlignment="1">
      <alignment vertical="center"/>
    </xf>
    <xf numFmtId="177" fontId="43" fillId="33" borderId="4" xfId="59" applyNumberFormat="1" applyFill="1" applyAlignment="1">
      <alignment vertical="center"/>
    </xf>
    <xf numFmtId="9" fontId="43" fillId="33" borderId="4" xfId="42" applyFont="1" applyFill="1" applyBorder="1" applyAlignment="1">
      <alignment vertical="center"/>
    </xf>
    <xf numFmtId="178" fontId="43" fillId="33" borderId="4" xfId="59" applyNumberFormat="1" applyFill="1" applyAlignment="1">
      <alignment vertical="center"/>
    </xf>
    <xf numFmtId="0" fontId="47" fillId="0" borderId="0" xfId="0" applyFont="1" applyAlignment="1">
      <alignment vertical="center"/>
    </xf>
    <xf numFmtId="179" fontId="0" fillId="0" borderId="11" xfId="0" applyNumberFormat="1" applyBorder="1" applyAlignment="1">
      <alignment vertical="center"/>
    </xf>
    <xf numFmtId="10" fontId="0" fillId="0" borderId="12" xfId="0" applyNumberFormat="1" applyBorder="1" applyAlignment="1">
      <alignment vertical="center"/>
    </xf>
    <xf numFmtId="10" fontId="0" fillId="34" borderId="13" xfId="0" applyNumberFormat="1" applyFill="1" applyBorder="1" applyAlignment="1">
      <alignment vertical="center"/>
    </xf>
    <xf numFmtId="0" fontId="0" fillId="0" borderId="0" xfId="0" applyFont="1" applyAlignment="1">
      <alignment vertical="center"/>
    </xf>
    <xf numFmtId="0" fontId="0" fillId="0" borderId="0" xfId="0" applyAlignment="1">
      <alignment horizontal="left" vertical="center"/>
    </xf>
    <xf numFmtId="0" fontId="48" fillId="0" borderId="14" xfId="0" applyFont="1" applyBorder="1" applyAlignment="1">
      <alignment vertical="center" wrapText="1" shrinkToFit="1"/>
    </xf>
    <xf numFmtId="176" fontId="0" fillId="0" borderId="10" xfId="0" applyNumberFormat="1" applyBorder="1" applyAlignment="1">
      <alignment vertical="center" wrapText="1" shrinkToFit="1"/>
    </xf>
    <xf numFmtId="176" fontId="0" fillId="0" borderId="11" xfId="0" applyNumberFormat="1" applyBorder="1" applyAlignment="1">
      <alignment vertical="center" wrapText="1" shrinkToFit="1"/>
    </xf>
    <xf numFmtId="5" fontId="0" fillId="0" borderId="10" xfId="0" applyNumberFormat="1" applyBorder="1" applyAlignment="1">
      <alignment vertical="center" wrapText="1" shrinkToFit="1"/>
    </xf>
    <xf numFmtId="5" fontId="0" fillId="0" borderId="11" xfId="0" applyNumberFormat="1" applyBorder="1" applyAlignment="1">
      <alignment vertical="center" wrapText="1" shrinkToFit="1"/>
    </xf>
    <xf numFmtId="179" fontId="0" fillId="0" borderId="10" xfId="0" applyNumberFormat="1" applyBorder="1" applyAlignment="1">
      <alignment vertical="center" wrapText="1" shrinkToFit="1"/>
    </xf>
    <xf numFmtId="179" fontId="0" fillId="0" borderId="10" xfId="0" applyNumberFormat="1" applyFill="1" applyBorder="1" applyAlignment="1">
      <alignment vertical="center" wrapText="1" shrinkToFit="1"/>
    </xf>
    <xf numFmtId="179" fontId="0" fillId="0" borderId="11" xfId="0" applyNumberFormat="1" applyFill="1" applyBorder="1" applyAlignment="1">
      <alignment vertical="center" wrapText="1" shrinkToFit="1"/>
    </xf>
    <xf numFmtId="0" fontId="45" fillId="0" borderId="14" xfId="0" applyFont="1" applyBorder="1" applyAlignment="1">
      <alignment vertical="center" wrapText="1" shrinkToFit="1"/>
    </xf>
    <xf numFmtId="179" fontId="0" fillId="0" borderId="11" xfId="0" applyNumberFormat="1" applyBorder="1" applyAlignment="1">
      <alignment vertical="center" wrapText="1" shrinkToFit="1"/>
    </xf>
    <xf numFmtId="0" fontId="45" fillId="0" borderId="15" xfId="0" applyFont="1" applyBorder="1" applyAlignment="1">
      <alignment vertical="center" wrapText="1" shrinkToFit="1"/>
    </xf>
    <xf numFmtId="179" fontId="0" fillId="0" borderId="12" xfId="0" applyNumberFormat="1" applyBorder="1" applyAlignment="1">
      <alignment vertical="center" wrapText="1" shrinkToFit="1"/>
    </xf>
    <xf numFmtId="179" fontId="0" fillId="0" borderId="13" xfId="0" applyNumberFormat="1" applyBorder="1" applyAlignment="1">
      <alignment vertical="center" wrapText="1" shrinkToFit="1"/>
    </xf>
    <xf numFmtId="176" fontId="49" fillId="0" borderId="10" xfId="0" applyNumberFormat="1" applyFont="1" applyBorder="1" applyAlignment="1">
      <alignment vertical="center" wrapText="1" shrinkToFit="1"/>
    </xf>
    <xf numFmtId="0" fontId="0" fillId="0" borderId="0" xfId="0" applyAlignment="1">
      <alignment vertical="center" shrinkToFit="1"/>
    </xf>
    <xf numFmtId="0" fontId="0" fillId="0" borderId="0" xfId="0" applyAlignment="1">
      <alignment horizontal="center" vertical="center"/>
    </xf>
    <xf numFmtId="38" fontId="0" fillId="0" borderId="0" xfId="48" applyFont="1" applyAlignment="1">
      <alignment vertical="center"/>
    </xf>
    <xf numFmtId="0" fontId="48" fillId="0" borderId="14" xfId="0" applyFont="1" applyBorder="1" applyAlignment="1">
      <alignment vertical="center" shrinkToFit="1"/>
    </xf>
    <xf numFmtId="38" fontId="0" fillId="0" borderId="10" xfId="48" applyFont="1" applyBorder="1" applyAlignment="1">
      <alignment vertical="center" shrinkToFit="1"/>
    </xf>
    <xf numFmtId="38" fontId="0" fillId="0" borderId="10" xfId="0" applyNumberFormat="1" applyBorder="1" applyAlignment="1">
      <alignment vertical="center" shrinkToFit="1"/>
    </xf>
    <xf numFmtId="38" fontId="0" fillId="0" borderId="11" xfId="0" applyNumberFormat="1" applyBorder="1" applyAlignment="1">
      <alignment vertical="center" shrinkToFit="1"/>
    </xf>
    <xf numFmtId="0" fontId="48" fillId="0" borderId="15" xfId="0" applyFont="1" applyBorder="1" applyAlignment="1">
      <alignment vertical="center" shrinkToFit="1"/>
    </xf>
    <xf numFmtId="10" fontId="0" fillId="0" borderId="12" xfId="42" applyNumberFormat="1" applyFont="1" applyBorder="1" applyAlignment="1">
      <alignment vertical="center" shrinkToFit="1"/>
    </xf>
    <xf numFmtId="180" fontId="0" fillId="0" borderId="0" xfId="0" applyNumberFormat="1" applyAlignment="1">
      <alignment vertical="center"/>
    </xf>
    <xf numFmtId="0" fontId="48" fillId="0" borderId="0" xfId="0" applyFont="1" applyBorder="1" applyAlignment="1">
      <alignment vertical="center" shrinkToFit="1"/>
    </xf>
    <xf numFmtId="10" fontId="0" fillId="0" borderId="0" xfId="42" applyNumberFormat="1" applyFont="1" applyBorder="1" applyAlignment="1">
      <alignment vertical="center" shrinkToFit="1"/>
    </xf>
    <xf numFmtId="179" fontId="0" fillId="0" borderId="12" xfId="0" applyNumberFormat="1" applyFill="1" applyBorder="1" applyAlignment="1">
      <alignment vertical="center" wrapText="1" shrinkToFit="1"/>
    </xf>
    <xf numFmtId="0" fontId="0" fillId="0" borderId="16" xfId="0" applyBorder="1" applyAlignment="1">
      <alignment vertical="center"/>
    </xf>
    <xf numFmtId="181" fontId="50" fillId="0" borderId="17" xfId="48" applyNumberFormat="1" applyFont="1" applyFill="1" applyBorder="1" applyAlignment="1">
      <alignment horizontal="center" vertical="center" shrinkToFit="1"/>
    </xf>
    <xf numFmtId="181" fontId="50" fillId="0" borderId="18" xfId="48" applyNumberFormat="1" applyFont="1" applyFill="1" applyBorder="1" applyAlignment="1">
      <alignment horizontal="center" vertical="center" shrinkToFit="1"/>
    </xf>
    <xf numFmtId="181" fontId="50" fillId="0" borderId="19" xfId="48" applyNumberFormat="1" applyFont="1" applyFill="1" applyBorder="1" applyAlignment="1">
      <alignment horizontal="center" vertical="center" shrinkToFit="1"/>
    </xf>
    <xf numFmtId="0" fontId="48" fillId="0" borderId="0" xfId="0" applyFont="1" applyBorder="1" applyAlignment="1">
      <alignment vertical="center"/>
    </xf>
    <xf numFmtId="10" fontId="49" fillId="0" borderId="13" xfId="42" applyNumberFormat="1" applyFont="1" applyFill="1" applyBorder="1" applyAlignment="1">
      <alignment vertical="center" shrinkToFit="1"/>
    </xf>
    <xf numFmtId="0" fontId="0" fillId="0" borderId="20" xfId="0" applyBorder="1" applyAlignment="1">
      <alignment horizontal="center" vertical="center"/>
    </xf>
    <xf numFmtId="0" fontId="48" fillId="0" borderId="21" xfId="0" applyFont="1" applyBorder="1" applyAlignment="1">
      <alignment vertical="center" shrinkToFit="1"/>
    </xf>
    <xf numFmtId="38" fontId="0" fillId="0" borderId="22" xfId="48" applyFont="1" applyBorder="1" applyAlignment="1">
      <alignment vertical="center" shrinkToFit="1"/>
    </xf>
    <xf numFmtId="38" fontId="0" fillId="0" borderId="23" xfId="48" applyFont="1" applyBorder="1" applyAlignment="1">
      <alignment vertical="center" shrinkToFit="1"/>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179" fontId="0" fillId="0" borderId="22" xfId="0" applyNumberFormat="1" applyBorder="1" applyAlignment="1">
      <alignment vertical="center"/>
    </xf>
    <xf numFmtId="179" fontId="0" fillId="0" borderId="23" xfId="0" applyNumberFormat="1" applyBorder="1" applyAlignment="1">
      <alignment vertical="center"/>
    </xf>
    <xf numFmtId="0" fontId="0" fillId="0" borderId="24" xfId="0" applyBorder="1" applyAlignment="1">
      <alignment horizontal="center" vertical="center"/>
    </xf>
    <xf numFmtId="0" fontId="0" fillId="0" borderId="25" xfId="0" applyFill="1" applyBorder="1" applyAlignment="1">
      <alignment horizontal="center" vertical="center"/>
    </xf>
    <xf numFmtId="0" fontId="48" fillId="0" borderId="21" xfId="0" applyFont="1" applyBorder="1" applyAlignment="1">
      <alignment vertical="center" wrapText="1" shrinkToFit="1"/>
    </xf>
    <xf numFmtId="177" fontId="0" fillId="0" borderId="22" xfId="0" applyNumberFormat="1" applyBorder="1" applyAlignment="1">
      <alignment vertical="center" wrapText="1" shrinkToFit="1"/>
    </xf>
    <xf numFmtId="177" fontId="0" fillId="0" borderId="23" xfId="0" applyNumberFormat="1" applyBorder="1" applyAlignment="1">
      <alignment vertical="center" wrapText="1" shrinkToFit="1"/>
    </xf>
    <xf numFmtId="0" fontId="45" fillId="0" borderId="16" xfId="0" applyFont="1" applyBorder="1" applyAlignment="1">
      <alignment vertical="center" wrapText="1" shrinkToFit="1"/>
    </xf>
    <xf numFmtId="179" fontId="0" fillId="0" borderId="26" xfId="0" applyNumberFormat="1" applyBorder="1" applyAlignment="1">
      <alignment vertical="center" wrapText="1" shrinkToFit="1"/>
    </xf>
    <xf numFmtId="0" fontId="48" fillId="0" borderId="20" xfId="0" applyFont="1" applyFill="1" applyBorder="1" applyAlignment="1">
      <alignment horizontal="center" vertical="center" shrinkToFit="1"/>
    </xf>
    <xf numFmtId="0" fontId="0" fillId="0" borderId="27" xfId="0" applyBorder="1" applyAlignment="1">
      <alignment horizontal="center" vertical="center"/>
    </xf>
    <xf numFmtId="179" fontId="0" fillId="0" borderId="28" xfId="0" applyNumberFormat="1" applyBorder="1" applyAlignment="1">
      <alignment vertical="center"/>
    </xf>
    <xf numFmtId="179" fontId="0" fillId="0" borderId="26" xfId="0" applyNumberFormat="1" applyBorder="1" applyAlignment="1">
      <alignment vertical="center"/>
    </xf>
    <xf numFmtId="10" fontId="0" fillId="0" borderId="29" xfId="0" applyNumberFormat="1" applyBorder="1" applyAlignment="1">
      <alignmen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35" xfId="0" applyFont="1" applyFill="1" applyBorder="1" applyAlignment="1">
      <alignment horizontal="center" vertical="center" shrinkToFit="1"/>
    </xf>
    <xf numFmtId="10" fontId="0" fillId="0" borderId="20" xfId="42" applyNumberFormat="1" applyFont="1" applyBorder="1" applyAlignment="1">
      <alignment horizontal="center" vertical="center"/>
    </xf>
    <xf numFmtId="181" fontId="50" fillId="0" borderId="36" xfId="48" applyNumberFormat="1" applyFont="1" applyFill="1" applyBorder="1" applyAlignment="1">
      <alignment horizontal="center" vertical="center" shrinkToFit="1"/>
    </xf>
    <xf numFmtId="180" fontId="0" fillId="0" borderId="37" xfId="0" applyNumberFormat="1" applyBorder="1" applyAlignment="1">
      <alignment vertical="center"/>
    </xf>
    <xf numFmtId="0" fontId="0" fillId="0" borderId="38" xfId="0" applyBorder="1" applyAlignment="1">
      <alignment vertical="center"/>
    </xf>
    <xf numFmtId="0" fontId="0" fillId="0" borderId="39" xfId="0" applyBorder="1" applyAlignment="1">
      <alignment vertical="center"/>
    </xf>
    <xf numFmtId="180" fontId="0" fillId="0" borderId="36" xfId="0" applyNumberFormat="1" applyBorder="1" applyAlignment="1">
      <alignment vertical="center"/>
    </xf>
    <xf numFmtId="181" fontId="50" fillId="0" borderId="40" xfId="48" applyNumberFormat="1" applyFont="1" applyFill="1" applyBorder="1" applyAlignment="1">
      <alignment horizontal="center" vertical="center" shrinkToFit="1"/>
    </xf>
    <xf numFmtId="180" fontId="0" fillId="0" borderId="41" xfId="0" applyNumberFormat="1" applyBorder="1" applyAlignment="1">
      <alignment vertical="center"/>
    </xf>
    <xf numFmtId="0" fontId="0" fillId="0" borderId="42" xfId="0" applyBorder="1" applyAlignment="1">
      <alignment vertical="center"/>
    </xf>
    <xf numFmtId="180" fontId="0" fillId="0" borderId="43" xfId="0" applyNumberFormat="1" applyBorder="1" applyAlignment="1">
      <alignment vertical="center"/>
    </xf>
    <xf numFmtId="180" fontId="0" fillId="0" borderId="40" xfId="0" applyNumberFormat="1" applyBorder="1" applyAlignment="1">
      <alignment vertical="center"/>
    </xf>
    <xf numFmtId="181" fontId="50" fillId="0" borderId="44" xfId="48" applyNumberFormat="1" applyFont="1" applyFill="1" applyBorder="1" applyAlignment="1">
      <alignment horizontal="center" vertical="center" shrinkToFit="1"/>
    </xf>
    <xf numFmtId="180" fontId="0" fillId="0" borderId="45" xfId="0" applyNumberFormat="1" applyBorder="1" applyAlignment="1">
      <alignment vertical="center"/>
    </xf>
    <xf numFmtId="180" fontId="0" fillId="0" borderId="46" xfId="0" applyNumberFormat="1" applyBorder="1" applyAlignment="1">
      <alignment vertical="center"/>
    </xf>
    <xf numFmtId="0" fontId="0" fillId="0" borderId="46" xfId="0" applyBorder="1" applyAlignment="1">
      <alignment vertical="center"/>
    </xf>
    <xf numFmtId="0" fontId="0" fillId="0" borderId="47" xfId="0" applyBorder="1" applyAlignment="1">
      <alignment vertical="center"/>
    </xf>
    <xf numFmtId="180" fontId="0" fillId="0" borderId="47" xfId="0" applyNumberFormat="1" applyBorder="1" applyAlignment="1">
      <alignment vertical="center"/>
    </xf>
    <xf numFmtId="180" fontId="0" fillId="0" borderId="44" xfId="0" applyNumberFormat="1" applyBorder="1" applyAlignment="1">
      <alignment vertical="center"/>
    </xf>
    <xf numFmtId="176" fontId="49" fillId="0" borderId="11" xfId="0" applyNumberFormat="1" applyFont="1" applyBorder="1" applyAlignment="1">
      <alignment vertical="center" wrapText="1" shrinkToFit="1"/>
    </xf>
    <xf numFmtId="0" fontId="0" fillId="0" borderId="0" xfId="0" applyFill="1" applyAlignment="1">
      <alignment vertical="center"/>
    </xf>
    <xf numFmtId="0" fontId="51" fillId="0" borderId="0" xfId="0" applyFont="1" applyAlignment="1">
      <alignment vertical="center"/>
    </xf>
    <xf numFmtId="0" fontId="45" fillId="0" borderId="0" xfId="0" applyFont="1" applyBorder="1" applyAlignment="1">
      <alignment vertical="center" wrapText="1" shrinkToFit="1"/>
    </xf>
    <xf numFmtId="179" fontId="0" fillId="0" borderId="0" xfId="0" applyNumberFormat="1" applyFill="1" applyBorder="1" applyAlignment="1">
      <alignment vertical="center" wrapText="1" shrinkToFit="1"/>
    </xf>
    <xf numFmtId="179" fontId="0" fillId="0" borderId="0" xfId="0" applyNumberFormat="1" applyBorder="1" applyAlignment="1">
      <alignment vertical="center" wrapText="1" shrinkToFit="1"/>
    </xf>
    <xf numFmtId="179" fontId="0" fillId="0" borderId="0" xfId="0" applyNumberFormat="1" applyFill="1" applyBorder="1" applyAlignment="1">
      <alignment vertical="center"/>
    </xf>
    <xf numFmtId="179" fontId="0" fillId="0" borderId="0" xfId="0" applyNumberFormat="1" applyBorder="1" applyAlignment="1">
      <alignment vertical="center"/>
    </xf>
    <xf numFmtId="0" fontId="52" fillId="35" borderId="48" xfId="0" applyFont="1" applyFill="1" applyBorder="1" applyAlignment="1">
      <alignment vertical="center"/>
    </xf>
    <xf numFmtId="0" fontId="0" fillId="0" borderId="49" xfId="0" applyFill="1" applyBorder="1" applyAlignment="1">
      <alignment vertical="center" shrinkToFit="1"/>
    </xf>
    <xf numFmtId="5" fontId="0" fillId="0" borderId="50" xfId="0" applyNumberFormat="1" applyFill="1" applyBorder="1" applyAlignment="1">
      <alignment vertical="center" shrinkToFit="1"/>
    </xf>
    <xf numFmtId="5" fontId="0" fillId="0" borderId="51" xfId="0" applyNumberFormat="1" applyFill="1" applyBorder="1" applyAlignment="1">
      <alignment vertical="center" shrinkToFit="1"/>
    </xf>
    <xf numFmtId="0" fontId="0" fillId="0" borderId="14" xfId="0" applyFont="1" applyFill="1" applyBorder="1" applyAlignment="1">
      <alignment vertical="center"/>
    </xf>
    <xf numFmtId="0" fontId="0" fillId="0" borderId="10" xfId="0" applyFill="1" applyBorder="1" applyAlignment="1">
      <alignment vertical="center"/>
    </xf>
    <xf numFmtId="38" fontId="0" fillId="0" borderId="10" xfId="48" applyFont="1" applyFill="1" applyBorder="1" applyAlignment="1">
      <alignment vertical="center"/>
    </xf>
    <xf numFmtId="38" fontId="0" fillId="0" borderId="11" xfId="48" applyFont="1" applyFill="1" applyBorder="1" applyAlignment="1">
      <alignment vertical="center"/>
    </xf>
    <xf numFmtId="0" fontId="0" fillId="0" borderId="14" xfId="0" applyFill="1" applyBorder="1" applyAlignment="1">
      <alignment vertical="center"/>
    </xf>
    <xf numFmtId="179" fontId="0" fillId="0" borderId="10" xfId="0" applyNumberFormat="1" applyFill="1" applyBorder="1" applyAlignment="1">
      <alignment vertical="center" shrinkToFit="1"/>
    </xf>
    <xf numFmtId="179" fontId="0" fillId="0" borderId="11" xfId="0" applyNumberFormat="1" applyFill="1" applyBorder="1" applyAlignment="1">
      <alignment vertical="center" shrinkToFit="1"/>
    </xf>
    <xf numFmtId="0" fontId="0" fillId="0" borderId="10" xfId="0" applyBorder="1" applyAlignment="1">
      <alignment vertical="center"/>
    </xf>
    <xf numFmtId="38" fontId="0" fillId="0" borderId="10" xfId="48" applyFont="1" applyBorder="1" applyAlignment="1">
      <alignment vertical="center"/>
    </xf>
    <xf numFmtId="38" fontId="0" fillId="0" borderId="11" xfId="48" applyFont="1" applyBorder="1" applyAlignment="1">
      <alignment vertical="center" shrinkToFit="1"/>
    </xf>
    <xf numFmtId="38" fontId="0" fillId="0" borderId="11" xfId="48" applyFont="1" applyBorder="1" applyAlignment="1">
      <alignment vertical="center"/>
    </xf>
    <xf numFmtId="0" fontId="0" fillId="0" borderId="15" xfId="0" applyFont="1" applyFill="1" applyBorder="1" applyAlignment="1">
      <alignment vertical="center"/>
    </xf>
    <xf numFmtId="0" fontId="0" fillId="0" borderId="12" xfId="0" applyBorder="1" applyAlignment="1">
      <alignment vertical="center"/>
    </xf>
    <xf numFmtId="38" fontId="0" fillId="0" borderId="12" xfId="48" applyFont="1" applyBorder="1" applyAlignment="1">
      <alignment vertical="center"/>
    </xf>
    <xf numFmtId="38" fontId="0" fillId="0" borderId="13" xfId="48" applyFont="1" applyBorder="1" applyAlignment="1">
      <alignment vertical="center"/>
    </xf>
    <xf numFmtId="5" fontId="46" fillId="35" borderId="4" xfId="59" applyNumberFormat="1" applyFont="1" applyFill="1" applyAlignment="1">
      <alignment vertical="center" wrapText="1" shrinkToFit="1"/>
    </xf>
    <xf numFmtId="183" fontId="0" fillId="35" borderId="0" xfId="0" applyNumberFormat="1" applyFill="1" applyBorder="1" applyAlignment="1">
      <alignment vertical="center" wrapText="1" shrinkToFit="1"/>
    </xf>
    <xf numFmtId="10" fontId="43" fillId="35" borderId="4" xfId="59" applyNumberFormat="1" applyFill="1" applyAlignment="1">
      <alignment vertical="center"/>
    </xf>
    <xf numFmtId="179" fontId="0" fillId="0" borderId="0" xfId="0" applyNumberFormat="1" applyBorder="1" applyAlignment="1">
      <alignment horizontal="center" vertical="center" shrinkToFit="1"/>
    </xf>
    <xf numFmtId="0" fontId="45" fillId="0" borderId="52" xfId="0" applyFont="1" applyBorder="1" applyAlignment="1">
      <alignment horizontal="left" vertical="center" wrapText="1"/>
    </xf>
    <xf numFmtId="0" fontId="45" fillId="0" borderId="53" xfId="0" applyFont="1" applyBorder="1" applyAlignment="1">
      <alignment horizontal="left" vertical="center" wrapText="1"/>
    </xf>
    <xf numFmtId="0" fontId="48" fillId="0" borderId="52" xfId="0" applyFont="1" applyBorder="1" applyAlignment="1">
      <alignment horizontal="left" vertical="center" wrapText="1"/>
    </xf>
    <xf numFmtId="0" fontId="48" fillId="0" borderId="53" xfId="0" applyFont="1" applyBorder="1" applyAlignment="1">
      <alignment horizontal="left" vertical="center" wrapText="1"/>
    </xf>
    <xf numFmtId="0" fontId="51" fillId="0" borderId="0" xfId="0" applyFont="1" applyAlignment="1">
      <alignment horizontal="left" vertical="center" shrinkToFit="1"/>
    </xf>
    <xf numFmtId="0" fontId="53" fillId="7" borderId="0" xfId="0" applyFont="1" applyFill="1" applyAlignment="1">
      <alignment vertical="center"/>
    </xf>
    <xf numFmtId="0" fontId="0" fillId="7" borderId="0" xfId="0"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F67"/>
  <sheetViews>
    <sheetView tabSelected="1" zoomScalePageLayoutView="0" workbookViewId="0" topLeftCell="A1">
      <selection activeCell="F2" sqref="F2"/>
    </sheetView>
  </sheetViews>
  <sheetFormatPr defaultColWidth="9.140625" defaultRowHeight="15"/>
  <cols>
    <col min="2" max="2" width="48.140625" style="0" customWidth="1"/>
    <col min="3" max="3" width="12.140625" style="0" customWidth="1"/>
    <col min="4" max="4" width="11.140625" style="0" customWidth="1"/>
    <col min="5" max="6" width="11.421875" style="0" bestFit="1" customWidth="1"/>
    <col min="7" max="7" width="11.140625" style="0" bestFit="1" customWidth="1"/>
    <col min="8" max="9" width="11.421875" style="0" bestFit="1" customWidth="1"/>
    <col min="10" max="10" width="12.421875" style="0" bestFit="1" customWidth="1"/>
    <col min="11" max="11" width="11.28125" style="0" bestFit="1" customWidth="1"/>
    <col min="12" max="12" width="11.00390625" style="0" customWidth="1"/>
    <col min="13" max="13" width="12.421875" style="0" bestFit="1" customWidth="1"/>
    <col min="14" max="14" width="11.140625" style="0" bestFit="1" customWidth="1"/>
    <col min="15" max="18" width="11.421875" style="0" customWidth="1"/>
  </cols>
  <sheetData>
    <row r="1" ht="20.25" customHeight="1"/>
    <row r="2" spans="2:8" ht="29.25" customHeight="1">
      <c r="B2" s="16" t="s">
        <v>81</v>
      </c>
      <c r="G2" s="135" t="s">
        <v>82</v>
      </c>
      <c r="H2" s="136"/>
    </row>
    <row r="3" spans="2:12" ht="17.25" customHeight="1">
      <c r="B3" s="20" t="s">
        <v>54</v>
      </c>
      <c r="C3" s="10"/>
      <c r="E3" s="134" t="s">
        <v>68</v>
      </c>
      <c r="F3" s="134"/>
      <c r="G3" s="134"/>
      <c r="H3" s="134"/>
      <c r="I3" s="134" t="s">
        <v>55</v>
      </c>
      <c r="J3" s="134"/>
      <c r="K3" s="134"/>
      <c r="L3" s="101" t="s">
        <v>64</v>
      </c>
    </row>
    <row r="4" ht="7.5" customHeight="1"/>
    <row r="5" spans="2:19" ht="27" customHeight="1">
      <c r="B5" s="8" t="s">
        <v>18</v>
      </c>
      <c r="C5" s="10">
        <v>80000</v>
      </c>
      <c r="D5" s="6" t="s">
        <v>0</v>
      </c>
      <c r="E5" s="11">
        <v>0.5</v>
      </c>
      <c r="F5" s="130" t="s">
        <v>37</v>
      </c>
      <c r="G5" s="131"/>
      <c r="H5" s="11">
        <v>0.03</v>
      </c>
      <c r="I5" s="132" t="s">
        <v>38</v>
      </c>
      <c r="J5" s="133"/>
      <c r="K5" s="12">
        <v>61</v>
      </c>
      <c r="L5" s="132" t="s">
        <v>39</v>
      </c>
      <c r="M5" s="133"/>
      <c r="N5" s="13">
        <v>3</v>
      </c>
      <c r="O5" s="132" t="s">
        <v>41</v>
      </c>
      <c r="P5" s="133"/>
      <c r="Q5" s="14">
        <v>0.06</v>
      </c>
      <c r="R5" s="9" t="s">
        <v>40</v>
      </c>
      <c r="S5" s="15">
        <v>3.1</v>
      </c>
    </row>
    <row r="6" spans="2:9" ht="15" customHeight="1" thickBot="1">
      <c r="B6" s="4" t="s">
        <v>65</v>
      </c>
      <c r="C6" s="4"/>
      <c r="D6" s="2"/>
      <c r="F6" s="1"/>
      <c r="G6" s="5"/>
      <c r="H6" s="5"/>
      <c r="I6" s="3"/>
    </row>
    <row r="7" spans="2:18" ht="21.75" customHeight="1" thickBot="1" thickTop="1">
      <c r="B7" s="68"/>
      <c r="C7" s="59" t="s">
        <v>1</v>
      </c>
      <c r="D7" s="59" t="s">
        <v>2</v>
      </c>
      <c r="E7" s="59" t="s">
        <v>3</v>
      </c>
      <c r="F7" s="59" t="s">
        <v>4</v>
      </c>
      <c r="G7" s="59" t="s">
        <v>5</v>
      </c>
      <c r="H7" s="59" t="s">
        <v>6</v>
      </c>
      <c r="I7" s="59" t="s">
        <v>7</v>
      </c>
      <c r="J7" s="59" t="s">
        <v>8</v>
      </c>
      <c r="K7" s="59" t="s">
        <v>9</v>
      </c>
      <c r="L7" s="59" t="s">
        <v>10</v>
      </c>
      <c r="M7" s="59" t="s">
        <v>11</v>
      </c>
      <c r="N7" s="59" t="s">
        <v>12</v>
      </c>
      <c r="O7" s="59" t="s">
        <v>13</v>
      </c>
      <c r="P7" s="59" t="s">
        <v>16</v>
      </c>
      <c r="Q7" s="59" t="s">
        <v>14</v>
      </c>
      <c r="R7" s="60" t="s">
        <v>15</v>
      </c>
    </row>
    <row r="8" spans="2:18" ht="16.5" customHeight="1" thickTop="1">
      <c r="B8" s="65" t="s">
        <v>17</v>
      </c>
      <c r="C8" s="66">
        <v>0</v>
      </c>
      <c r="D8" s="66">
        <v>1</v>
      </c>
      <c r="E8" s="66">
        <v>2</v>
      </c>
      <c r="F8" s="66">
        <v>3</v>
      </c>
      <c r="G8" s="66">
        <v>4</v>
      </c>
      <c r="H8" s="66">
        <v>5</v>
      </c>
      <c r="I8" s="66">
        <v>6</v>
      </c>
      <c r="J8" s="66">
        <v>7</v>
      </c>
      <c r="K8" s="66">
        <v>8</v>
      </c>
      <c r="L8" s="66">
        <v>9</v>
      </c>
      <c r="M8" s="66">
        <v>10</v>
      </c>
      <c r="N8" s="66">
        <v>11</v>
      </c>
      <c r="O8" s="66">
        <v>12</v>
      </c>
      <c r="P8" s="66">
        <v>13</v>
      </c>
      <c r="Q8" s="66">
        <v>14</v>
      </c>
      <c r="R8" s="67">
        <v>15</v>
      </c>
    </row>
    <row r="9" spans="2:18" ht="16.5" customHeight="1">
      <c r="B9" s="22" t="s">
        <v>47</v>
      </c>
      <c r="C9" s="23">
        <f>C5</f>
        <v>80000</v>
      </c>
      <c r="D9" s="23">
        <f>C5*(1+E5)^D8</f>
        <v>120000</v>
      </c>
      <c r="E9" s="23">
        <f>C5*(1+E5)^E8</f>
        <v>180000</v>
      </c>
      <c r="F9" s="23">
        <f>C5*(1+E5)^F8</f>
        <v>270000</v>
      </c>
      <c r="G9" s="23">
        <f>C5*(1+E5)^G8</f>
        <v>405000</v>
      </c>
      <c r="H9" s="23">
        <f>C5*(1+E5)^H8</f>
        <v>607500</v>
      </c>
      <c r="I9" s="23">
        <f>C5*(1+E5)^I8</f>
        <v>911250</v>
      </c>
      <c r="J9" s="23">
        <f>C5*(1+E5)^J8</f>
        <v>1366875</v>
      </c>
      <c r="K9" s="23">
        <f>C5*(1+E5)^K8</f>
        <v>2050312.5</v>
      </c>
      <c r="L9" s="23">
        <f>C5*(1+E5)^L8</f>
        <v>3075468.75</v>
      </c>
      <c r="M9" s="23">
        <f>C5*(1+E5)^M8</f>
        <v>4613203.125</v>
      </c>
      <c r="N9" s="23">
        <f>C5*(1+E5)^N8</f>
        <v>6919804.6875</v>
      </c>
      <c r="O9" s="23">
        <f>C5*(1+E5)^O8</f>
        <v>10379707.03125</v>
      </c>
      <c r="P9" s="23">
        <f>C5*(1+E5)^P8</f>
        <v>15569560.546875</v>
      </c>
      <c r="Q9" s="23">
        <f>C5*(1+E5)^Q8</f>
        <v>23354340.8203125</v>
      </c>
      <c r="R9" s="24">
        <f>C5*(1+E5)^R8</f>
        <v>35031511.23046875</v>
      </c>
    </row>
    <row r="10" spans="2:18" ht="16.5" customHeight="1">
      <c r="B10" s="22" t="s">
        <v>48</v>
      </c>
      <c r="C10" s="23"/>
      <c r="D10" s="23">
        <f>C9+D9</f>
        <v>200000</v>
      </c>
      <c r="E10" s="23">
        <f aca="true" t="shared" si="0" ref="E10:R10">D9+E9</f>
        <v>300000</v>
      </c>
      <c r="F10" s="23">
        <f t="shared" si="0"/>
        <v>450000</v>
      </c>
      <c r="G10" s="23">
        <f t="shared" si="0"/>
        <v>675000</v>
      </c>
      <c r="H10" s="23">
        <f t="shared" si="0"/>
        <v>1012500</v>
      </c>
      <c r="I10" s="23">
        <f t="shared" si="0"/>
        <v>1518750</v>
      </c>
      <c r="J10" s="23">
        <f t="shared" si="0"/>
        <v>2278125</v>
      </c>
      <c r="K10" s="23">
        <f t="shared" si="0"/>
        <v>3417187.5</v>
      </c>
      <c r="L10" s="23">
        <f t="shared" si="0"/>
        <v>5125781.25</v>
      </c>
      <c r="M10" s="23">
        <f t="shared" si="0"/>
        <v>7688671.875</v>
      </c>
      <c r="N10" s="23">
        <f t="shared" si="0"/>
        <v>11533007.8125</v>
      </c>
      <c r="O10" s="23">
        <f t="shared" si="0"/>
        <v>17299511.71875</v>
      </c>
      <c r="P10" s="23">
        <f t="shared" si="0"/>
        <v>25949267.578125</v>
      </c>
      <c r="Q10" s="23">
        <f t="shared" si="0"/>
        <v>38923901.3671875</v>
      </c>
      <c r="R10" s="99">
        <f t="shared" si="0"/>
        <v>58385852.05078125</v>
      </c>
    </row>
    <row r="11" spans="2:18" ht="16.5" customHeight="1">
      <c r="B11" s="22" t="s">
        <v>50</v>
      </c>
      <c r="C11" s="23"/>
      <c r="D11" s="23">
        <f>D9*$N$5</f>
        <v>360000</v>
      </c>
      <c r="E11" s="23">
        <f aca="true" t="shared" si="1" ref="E11:R11">E9*$N$5</f>
        <v>540000</v>
      </c>
      <c r="F11" s="23">
        <f t="shared" si="1"/>
        <v>810000</v>
      </c>
      <c r="G11" s="23">
        <f t="shared" si="1"/>
        <v>1215000</v>
      </c>
      <c r="H11" s="23">
        <f t="shared" si="1"/>
        <v>1822500</v>
      </c>
      <c r="I11" s="23">
        <f t="shared" si="1"/>
        <v>2733750</v>
      </c>
      <c r="J11" s="23">
        <f t="shared" si="1"/>
        <v>4100625</v>
      </c>
      <c r="K11" s="23">
        <f t="shared" si="1"/>
        <v>6150937.5</v>
      </c>
      <c r="L11" s="23">
        <f t="shared" si="1"/>
        <v>9226406.25</v>
      </c>
      <c r="M11" s="23">
        <f t="shared" si="1"/>
        <v>13839609.375</v>
      </c>
      <c r="N11" s="23">
        <f t="shared" si="1"/>
        <v>20759414.0625</v>
      </c>
      <c r="O11" s="23">
        <f t="shared" si="1"/>
        <v>31139121.09375</v>
      </c>
      <c r="P11" s="23">
        <f t="shared" si="1"/>
        <v>46708681.640625</v>
      </c>
      <c r="Q11" s="23">
        <f t="shared" si="1"/>
        <v>70063022.4609375</v>
      </c>
      <c r="R11" s="24">
        <f t="shared" si="1"/>
        <v>105094533.69140625</v>
      </c>
    </row>
    <row r="12" spans="2:18" ht="16.5" customHeight="1">
      <c r="B12" s="22" t="s">
        <v>51</v>
      </c>
      <c r="C12" s="23"/>
      <c r="D12" s="23">
        <f>D10*$N$5</f>
        <v>600000</v>
      </c>
      <c r="E12" s="23">
        <f aca="true" t="shared" si="2" ref="E12:R12">E10*$N$5</f>
        <v>900000</v>
      </c>
      <c r="F12" s="23">
        <f t="shared" si="2"/>
        <v>1350000</v>
      </c>
      <c r="G12" s="23">
        <f t="shared" si="2"/>
        <v>2025000</v>
      </c>
      <c r="H12" s="23">
        <f t="shared" si="2"/>
        <v>3037500</v>
      </c>
      <c r="I12" s="23">
        <f t="shared" si="2"/>
        <v>4556250</v>
      </c>
      <c r="J12" s="23">
        <f t="shared" si="2"/>
        <v>6834375</v>
      </c>
      <c r="K12" s="23">
        <f t="shared" si="2"/>
        <v>10251562.5</v>
      </c>
      <c r="L12" s="23">
        <f t="shared" si="2"/>
        <v>15377343.75</v>
      </c>
      <c r="M12" s="23">
        <f t="shared" si="2"/>
        <v>23066015.625</v>
      </c>
      <c r="N12" s="23">
        <f t="shared" si="2"/>
        <v>34599023.4375</v>
      </c>
      <c r="O12" s="23">
        <f t="shared" si="2"/>
        <v>51898535.15625</v>
      </c>
      <c r="P12" s="35">
        <f t="shared" si="2"/>
        <v>77847802.734375</v>
      </c>
      <c r="Q12" s="23">
        <f t="shared" si="2"/>
        <v>116771704.1015625</v>
      </c>
      <c r="R12" s="24">
        <f t="shared" si="2"/>
        <v>175157556.15234375</v>
      </c>
    </row>
    <row r="13" spans="2:18" ht="16.5" customHeight="1">
      <c r="B13" s="22" t="s">
        <v>35</v>
      </c>
      <c r="C13" s="23"/>
      <c r="D13" s="25">
        <f>K5</f>
        <v>61</v>
      </c>
      <c r="E13" s="25">
        <f>D13*(1-$Q$5)</f>
        <v>57.339999999999996</v>
      </c>
      <c r="F13" s="25">
        <f>E13*(1-$Q$5)</f>
        <v>53.89959999999999</v>
      </c>
      <c r="G13" s="25">
        <f aca="true" t="shared" si="3" ref="G13:R13">F13*(1-$Q$5)</f>
        <v>50.66562399999999</v>
      </c>
      <c r="H13" s="25">
        <f t="shared" si="3"/>
        <v>47.625686559999984</v>
      </c>
      <c r="I13" s="25">
        <f t="shared" si="3"/>
        <v>44.768145366399985</v>
      </c>
      <c r="J13" s="25">
        <f t="shared" si="3"/>
        <v>42.082056644415985</v>
      </c>
      <c r="K13" s="25">
        <f t="shared" si="3"/>
        <v>39.557133245751025</v>
      </c>
      <c r="L13" s="25">
        <f t="shared" si="3"/>
        <v>37.18370525100596</v>
      </c>
      <c r="M13" s="25">
        <f t="shared" si="3"/>
        <v>34.9526829359456</v>
      </c>
      <c r="N13" s="25">
        <f t="shared" si="3"/>
        <v>32.85552195978887</v>
      </c>
      <c r="O13" s="25">
        <f t="shared" si="3"/>
        <v>30.88419064220153</v>
      </c>
      <c r="P13" s="25">
        <f t="shared" si="3"/>
        <v>29.031139203669436</v>
      </c>
      <c r="Q13" s="25">
        <f t="shared" si="3"/>
        <v>27.28927085144927</v>
      </c>
      <c r="R13" s="26">
        <f t="shared" si="3"/>
        <v>25.651914600362314</v>
      </c>
    </row>
    <row r="14" spans="2:18" ht="16.5" customHeight="1">
      <c r="B14" s="22" t="s">
        <v>80</v>
      </c>
      <c r="C14" s="23"/>
      <c r="D14" s="23">
        <f>N5*S5*365</f>
        <v>3394.5000000000005</v>
      </c>
      <c r="E14" s="23">
        <f>N5*S5*365</f>
        <v>3394.5000000000005</v>
      </c>
      <c r="F14" s="23">
        <f>N5*S5*365</f>
        <v>3394.5000000000005</v>
      </c>
      <c r="G14" s="23">
        <f>N5*S5*365</f>
        <v>3394.5000000000005</v>
      </c>
      <c r="H14" s="23">
        <f>N5*S5*365</f>
        <v>3394.5000000000005</v>
      </c>
      <c r="I14" s="23">
        <f>N5*S5*365</f>
        <v>3394.5000000000005</v>
      </c>
      <c r="J14" s="23">
        <f>N5*S5*365</f>
        <v>3394.5000000000005</v>
      </c>
      <c r="K14" s="23">
        <f>N5*S5*365</f>
        <v>3394.5000000000005</v>
      </c>
      <c r="L14" s="23">
        <f>N5*S5*365</f>
        <v>3394.5000000000005</v>
      </c>
      <c r="M14" s="23">
        <f>N5*S5*365</f>
        <v>3394.5000000000005</v>
      </c>
      <c r="N14" s="23">
        <f>N5*S5*365</f>
        <v>3394.5000000000005</v>
      </c>
      <c r="O14" s="23">
        <f>N5*S5*365</f>
        <v>3394.5000000000005</v>
      </c>
      <c r="P14" s="23">
        <f>N5*S5*365</f>
        <v>3394.5000000000005</v>
      </c>
      <c r="Q14" s="23">
        <f>N5*S5*365</f>
        <v>3394.5000000000005</v>
      </c>
      <c r="R14" s="24">
        <f>N5*S5*365</f>
        <v>3394.5000000000005</v>
      </c>
    </row>
    <row r="15" spans="2:18" ht="16.5" customHeight="1">
      <c r="B15" s="22" t="s">
        <v>36</v>
      </c>
      <c r="C15" s="23"/>
      <c r="D15" s="25">
        <f aca="true" t="shared" si="4" ref="D15:R15">D13*D14</f>
        <v>207064.50000000003</v>
      </c>
      <c r="E15" s="25">
        <f t="shared" si="4"/>
        <v>194640.63</v>
      </c>
      <c r="F15" s="25">
        <f t="shared" si="4"/>
        <v>182962.1922</v>
      </c>
      <c r="G15" s="25">
        <f t="shared" si="4"/>
        <v>171984.46066799999</v>
      </c>
      <c r="H15" s="25">
        <f t="shared" si="4"/>
        <v>161665.39302791996</v>
      </c>
      <c r="I15" s="25">
        <f t="shared" si="4"/>
        <v>151965.46944624477</v>
      </c>
      <c r="J15" s="25">
        <f t="shared" si="4"/>
        <v>142847.54127947008</v>
      </c>
      <c r="K15" s="25">
        <f t="shared" si="4"/>
        <v>134276.6888027019</v>
      </c>
      <c r="L15" s="25">
        <f t="shared" si="4"/>
        <v>126220.08747453975</v>
      </c>
      <c r="M15" s="25">
        <f t="shared" si="4"/>
        <v>118646.88222606736</v>
      </c>
      <c r="N15" s="25">
        <f t="shared" si="4"/>
        <v>111528.06929250332</v>
      </c>
      <c r="O15" s="25">
        <f t="shared" si="4"/>
        <v>104836.38513495312</v>
      </c>
      <c r="P15" s="25">
        <f t="shared" si="4"/>
        <v>98546.20202685591</v>
      </c>
      <c r="Q15" s="25">
        <f t="shared" si="4"/>
        <v>92633.42990524456</v>
      </c>
      <c r="R15" s="26">
        <f t="shared" si="4"/>
        <v>87075.42411092989</v>
      </c>
    </row>
    <row r="16" spans="2:18" ht="24">
      <c r="B16" s="22" t="s">
        <v>44</v>
      </c>
      <c r="C16" s="28"/>
      <c r="D16" s="27">
        <f>ROUNDDOWN(D9*D15,-8)/100000000</f>
        <v>248</v>
      </c>
      <c r="E16" s="27">
        <f aca="true" t="shared" si="5" ref="E16:R16">ROUNDDOWN(E9*E15,-8)/100000000</f>
        <v>350</v>
      </c>
      <c r="F16" s="27">
        <f t="shared" si="5"/>
        <v>493</v>
      </c>
      <c r="G16" s="27">
        <f t="shared" si="5"/>
        <v>696</v>
      </c>
      <c r="H16" s="27">
        <f t="shared" si="5"/>
        <v>982</v>
      </c>
      <c r="I16" s="27">
        <f t="shared" si="5"/>
        <v>1384</v>
      </c>
      <c r="J16" s="27">
        <f t="shared" si="5"/>
        <v>1952</v>
      </c>
      <c r="K16" s="27">
        <f t="shared" si="5"/>
        <v>2753</v>
      </c>
      <c r="L16" s="27">
        <f t="shared" si="5"/>
        <v>3881</v>
      </c>
      <c r="M16" s="27">
        <f t="shared" si="5"/>
        <v>5473</v>
      </c>
      <c r="N16" s="27">
        <f t="shared" si="5"/>
        <v>7717</v>
      </c>
      <c r="O16" s="28">
        <f t="shared" si="5"/>
        <v>10881</v>
      </c>
      <c r="P16" s="28">
        <f t="shared" si="5"/>
        <v>15343</v>
      </c>
      <c r="Q16" s="28">
        <f t="shared" si="5"/>
        <v>21633</v>
      </c>
      <c r="R16" s="29">
        <f t="shared" si="5"/>
        <v>30503</v>
      </c>
    </row>
    <row r="17" spans="2:32" ht="32.25" customHeight="1">
      <c r="B17" s="22" t="s">
        <v>49</v>
      </c>
      <c r="C17" s="28"/>
      <c r="D17" s="27">
        <f>C67</f>
        <v>413</v>
      </c>
      <c r="E17" s="27">
        <f aca="true" t="shared" si="6" ref="E17:AF17">D67</f>
        <v>760.935</v>
      </c>
      <c r="F17" s="27">
        <f t="shared" si="6"/>
        <v>1250.130325</v>
      </c>
      <c r="G17" s="27">
        <f t="shared" si="6"/>
        <v>1939.879673375</v>
      </c>
      <c r="H17" s="27">
        <f t="shared" si="6"/>
        <v>2912.180275008125</v>
      </c>
      <c r="I17" s="27">
        <f t="shared" si="6"/>
        <v>4281.619373633084</v>
      </c>
      <c r="J17" s="27">
        <f t="shared" si="6"/>
        <v>6212.211276764919</v>
      </c>
      <c r="K17" s="27">
        <f t="shared" si="6"/>
        <v>8934.150220381094</v>
      </c>
      <c r="L17" s="27">
        <f t="shared" si="6"/>
        <v>12770.47946927919</v>
      </c>
      <c r="M17" s="27">
        <f t="shared" si="6"/>
        <v>18179.627071932795</v>
      </c>
      <c r="N17" s="27">
        <f t="shared" si="6"/>
        <v>25805.728936573127</v>
      </c>
      <c r="O17" s="27">
        <f t="shared" si="6"/>
        <v>36557.700291890265</v>
      </c>
      <c r="P17" s="27">
        <f t="shared" si="6"/>
        <v>51717.911790430815</v>
      </c>
      <c r="Q17" s="27">
        <f t="shared" si="6"/>
        <v>73092.32223147865</v>
      </c>
      <c r="R17" s="31">
        <f t="shared" si="6"/>
        <v>103229.86062032125</v>
      </c>
      <c r="S17" s="69">
        <f t="shared" si="6"/>
        <v>102330.62533309769</v>
      </c>
      <c r="T17" s="27">
        <f t="shared" si="6"/>
        <v>101494.32306734579</v>
      </c>
      <c r="U17" s="27">
        <f t="shared" si="6"/>
        <v>100529.55995038162</v>
      </c>
      <c r="V17" s="27">
        <f t="shared" si="6"/>
        <v>99381.32414833215</v>
      </c>
      <c r="W17" s="27">
        <f t="shared" si="6"/>
        <v>97973.54480021089</v>
      </c>
      <c r="X17" s="27">
        <f t="shared" si="6"/>
        <v>96199.92162336527</v>
      </c>
      <c r="Y17" s="27">
        <f t="shared" si="6"/>
        <v>93908.30738811506</v>
      </c>
      <c r="Z17" s="27">
        <f t="shared" si="6"/>
        <v>90885.16848001763</v>
      </c>
      <c r="AA17" s="27">
        <f t="shared" si="6"/>
        <v>86830.84746963362</v>
      </c>
      <c r="AB17" s="27">
        <f t="shared" si="6"/>
        <v>81320.10826594275</v>
      </c>
      <c r="AC17" s="27">
        <f t="shared" si="6"/>
        <v>73755.457992242</v>
      </c>
      <c r="AD17" s="27">
        <f t="shared" si="6"/>
        <v>63293.80275256856</v>
      </c>
      <c r="AE17" s="27">
        <f t="shared" si="6"/>
        <v>48745.643050226114</v>
      </c>
      <c r="AF17" s="27">
        <f t="shared" si="6"/>
        <v>28435.8153325281</v>
      </c>
    </row>
    <row r="18" spans="2:18" ht="20.25" customHeight="1">
      <c r="B18" s="30" t="s">
        <v>52</v>
      </c>
      <c r="C18" s="28">
        <f>ROUNDDOWN(M37,-2)/100</f>
        <v>176557</v>
      </c>
      <c r="D18" s="27">
        <f>C18*(1+$M$38)</f>
        <v>182263.41292588343</v>
      </c>
      <c r="E18" s="27">
        <f>D18*(1+$M$38)</f>
        <v>188154.26004854575</v>
      </c>
      <c r="F18" s="27">
        <f aca="true" t="shared" si="7" ref="F18:R18">E18*(1+$M$38)</f>
        <v>194235.50237595872</v>
      </c>
      <c r="G18" s="27">
        <f t="shared" si="7"/>
        <v>200513.29357893358</v>
      </c>
      <c r="H18" s="27">
        <f t="shared" si="7"/>
        <v>206993.9862180829</v>
      </c>
      <c r="I18" s="27">
        <f t="shared" si="7"/>
        <v>213684.13817204113</v>
      </c>
      <c r="J18" s="27">
        <f t="shared" si="7"/>
        <v>220590.5192734486</v>
      </c>
      <c r="K18" s="27">
        <f t="shared" si="7"/>
        <v>227720.11815941372</v>
      </c>
      <c r="L18" s="28">
        <f t="shared" si="7"/>
        <v>235080.1493433859</v>
      </c>
      <c r="M18" s="28">
        <f t="shared" si="7"/>
        <v>242678.0605155949</v>
      </c>
      <c r="N18" s="28">
        <f t="shared" si="7"/>
        <v>250521.54007944404</v>
      </c>
      <c r="O18" s="28">
        <f t="shared" si="7"/>
        <v>258618.52493148367</v>
      </c>
      <c r="P18" s="28">
        <f t="shared" si="7"/>
        <v>266977.2084928374</v>
      </c>
      <c r="Q18" s="28">
        <f t="shared" si="7"/>
        <v>275606.0490002078</v>
      </c>
      <c r="R18" s="29">
        <f t="shared" si="7"/>
        <v>284513.77806485235</v>
      </c>
    </row>
    <row r="19" spans="2:18" ht="18" customHeight="1">
      <c r="B19" s="30" t="s">
        <v>42</v>
      </c>
      <c r="C19" s="28"/>
      <c r="D19" s="27">
        <f>D18*H5</f>
        <v>5467.902387776503</v>
      </c>
      <c r="E19" s="27">
        <f>E18*H5</f>
        <v>5644.627801456372</v>
      </c>
      <c r="F19" s="27">
        <f>F18*H5</f>
        <v>5827.065071278761</v>
      </c>
      <c r="G19" s="27">
        <f>G18*H5</f>
        <v>6015.398807368007</v>
      </c>
      <c r="H19" s="27">
        <f>H18*H5</f>
        <v>6209.819586542487</v>
      </c>
      <c r="I19" s="27">
        <f>I18*H5</f>
        <v>6410.524145161234</v>
      </c>
      <c r="J19" s="27">
        <f>J18*H5</f>
        <v>6617.715578203458</v>
      </c>
      <c r="K19" s="27">
        <f>K18*H5</f>
        <v>6831.6035447824115</v>
      </c>
      <c r="L19" s="28">
        <f>L18*H5</f>
        <v>7052.404480301577</v>
      </c>
      <c r="M19" s="28">
        <f>M18*H5</f>
        <v>7280.341815467847</v>
      </c>
      <c r="N19" s="28">
        <f>N18*H5</f>
        <v>7515.646202383321</v>
      </c>
      <c r="O19" s="28">
        <f>O18*H5</f>
        <v>7758.55574794451</v>
      </c>
      <c r="P19" s="28">
        <f>P18*H5</f>
        <v>8009.316254785121</v>
      </c>
      <c r="Q19" s="28">
        <f>Q18*H5</f>
        <v>8268.181470006233</v>
      </c>
      <c r="R19" s="29">
        <f>R18*H5</f>
        <v>8535.41334194557</v>
      </c>
    </row>
    <row r="20" spans="2:18" ht="18" customHeight="1">
      <c r="B20" s="30" t="s">
        <v>43</v>
      </c>
      <c r="C20" s="28"/>
      <c r="D20" s="27">
        <f>D19</f>
        <v>5467.902387776503</v>
      </c>
      <c r="E20" s="27">
        <f>D20+E19</f>
        <v>11112.530189232875</v>
      </c>
      <c r="F20" s="27">
        <f aca="true" t="shared" si="8" ref="F20:R20">E20+F19</f>
        <v>16939.595260511636</v>
      </c>
      <c r="G20" s="27">
        <f t="shared" si="8"/>
        <v>22954.99406787964</v>
      </c>
      <c r="H20" s="27">
        <f t="shared" si="8"/>
        <v>29164.813654422127</v>
      </c>
      <c r="I20" s="27">
        <f t="shared" si="8"/>
        <v>35575.33779958336</v>
      </c>
      <c r="J20" s="27">
        <f t="shared" si="8"/>
        <v>42193.05337778682</v>
      </c>
      <c r="K20" s="27">
        <f t="shared" si="8"/>
        <v>49024.65692256923</v>
      </c>
      <c r="L20" s="27">
        <f t="shared" si="8"/>
        <v>56077.06140287081</v>
      </c>
      <c r="M20" s="27">
        <f t="shared" si="8"/>
        <v>63357.40321833865</v>
      </c>
      <c r="N20" s="27">
        <f t="shared" si="8"/>
        <v>70873.04942072197</v>
      </c>
      <c r="O20" s="27">
        <f t="shared" si="8"/>
        <v>78631.60516866649</v>
      </c>
      <c r="P20" s="27">
        <f t="shared" si="8"/>
        <v>86640.92142345161</v>
      </c>
      <c r="Q20" s="27">
        <f t="shared" si="8"/>
        <v>94909.10289345785</v>
      </c>
      <c r="R20" s="31">
        <f t="shared" si="8"/>
        <v>103444.51623540343</v>
      </c>
    </row>
    <row r="21" spans="2:18" ht="18" customHeight="1" thickBot="1">
      <c r="B21" s="32" t="s">
        <v>53</v>
      </c>
      <c r="C21" s="48"/>
      <c r="D21" s="33">
        <f>D20-D17</f>
        <v>5054.902387776503</v>
      </c>
      <c r="E21" s="33">
        <f aca="true" t="shared" si="9" ref="E21:R21">E20-E17</f>
        <v>10351.595189232876</v>
      </c>
      <c r="F21" s="33">
        <f t="shared" si="9"/>
        <v>15689.464935511636</v>
      </c>
      <c r="G21" s="33">
        <f t="shared" si="9"/>
        <v>21015.114394504642</v>
      </c>
      <c r="H21" s="33">
        <f t="shared" si="9"/>
        <v>26252.633379414</v>
      </c>
      <c r="I21" s="33">
        <f t="shared" si="9"/>
        <v>31293.718425950276</v>
      </c>
      <c r="J21" s="33">
        <f t="shared" si="9"/>
        <v>35980.8421010219</v>
      </c>
      <c r="K21" s="33">
        <f t="shared" si="9"/>
        <v>40090.50670218813</v>
      </c>
      <c r="L21" s="33">
        <f t="shared" si="9"/>
        <v>43306.58193359162</v>
      </c>
      <c r="M21" s="33">
        <f t="shared" si="9"/>
        <v>45177.77614640586</v>
      </c>
      <c r="N21" s="33">
        <f t="shared" si="9"/>
        <v>45067.32048414885</v>
      </c>
      <c r="O21" s="33">
        <f t="shared" si="9"/>
        <v>42073.90487677622</v>
      </c>
      <c r="P21" s="33">
        <f t="shared" si="9"/>
        <v>34923.009633020796</v>
      </c>
      <c r="Q21" s="33">
        <f t="shared" si="9"/>
        <v>21816.780661979195</v>
      </c>
      <c r="R21" s="34">
        <f t="shared" si="9"/>
        <v>214.6556150821707</v>
      </c>
    </row>
    <row r="22" spans="2:18" ht="18" customHeight="1" thickTop="1">
      <c r="B22" s="102"/>
      <c r="C22" s="103"/>
      <c r="D22" s="104"/>
      <c r="E22" s="104"/>
      <c r="F22" s="104"/>
      <c r="G22" s="104"/>
      <c r="H22" s="104"/>
      <c r="I22" s="104"/>
      <c r="J22" s="104"/>
      <c r="K22" s="104"/>
      <c r="L22" s="104"/>
      <c r="M22" s="104"/>
      <c r="N22" s="104"/>
      <c r="O22" s="104"/>
      <c r="P22" s="104"/>
      <c r="Q22" s="104"/>
      <c r="R22" s="104"/>
    </row>
    <row r="23" spans="2:18" ht="18" customHeight="1">
      <c r="B23" s="102"/>
      <c r="C23" s="105" t="s">
        <v>69</v>
      </c>
      <c r="D23" s="103"/>
      <c r="E23" s="126">
        <v>630000</v>
      </c>
      <c r="F23" s="105" t="s">
        <v>70</v>
      </c>
      <c r="G23" s="104"/>
      <c r="H23" s="104"/>
      <c r="I23" s="128">
        <f>Q5</f>
        <v>0.06</v>
      </c>
      <c r="J23" s="106" t="s">
        <v>76</v>
      </c>
      <c r="K23" s="104"/>
      <c r="L23" s="104"/>
      <c r="N23" s="127">
        <v>0.453</v>
      </c>
      <c r="O23" s="129" t="s">
        <v>75</v>
      </c>
      <c r="P23" s="129"/>
      <c r="Q23" s="129"/>
      <c r="R23" s="127">
        <f>0.0302</f>
        <v>0.0302</v>
      </c>
    </row>
    <row r="24" spans="3:18" ht="17.25" customHeight="1" thickBot="1">
      <c r="C24" s="100" t="s">
        <v>79</v>
      </c>
      <c r="D24" s="38"/>
      <c r="E24" s="126">
        <v>1000</v>
      </c>
      <c r="I24" s="38"/>
      <c r="N24" s="38"/>
      <c r="R24" s="38"/>
    </row>
    <row r="25" spans="2:18" ht="17.25" customHeight="1" thickBot="1">
      <c r="B25" s="107" t="s">
        <v>66</v>
      </c>
      <c r="D25" s="38"/>
      <c r="I25" s="38"/>
      <c r="N25" s="38"/>
      <c r="R25" s="38"/>
    </row>
    <row r="26" spans="2:18" s="100" customFormat="1" ht="17.25" customHeight="1" thickTop="1">
      <c r="B26" s="108" t="s">
        <v>74</v>
      </c>
      <c r="C26" s="109">
        <f>$E$23*C9*$N$5/100000000</f>
        <v>1512</v>
      </c>
      <c r="D26" s="109">
        <f aca="true" t="shared" si="10" ref="D26:R26">$E$23*D9*$N$5/100000000</f>
        <v>2268</v>
      </c>
      <c r="E26" s="109">
        <f t="shared" si="10"/>
        <v>3402</v>
      </c>
      <c r="F26" s="109">
        <f t="shared" si="10"/>
        <v>5103</v>
      </c>
      <c r="G26" s="109">
        <f t="shared" si="10"/>
        <v>7654.5</v>
      </c>
      <c r="H26" s="109">
        <f t="shared" si="10"/>
        <v>11481.75</v>
      </c>
      <c r="I26" s="109">
        <f t="shared" si="10"/>
        <v>17222.625</v>
      </c>
      <c r="J26" s="109">
        <f t="shared" si="10"/>
        <v>25833.9375</v>
      </c>
      <c r="K26" s="109">
        <f t="shared" si="10"/>
        <v>38750.90625</v>
      </c>
      <c r="L26" s="109">
        <f t="shared" si="10"/>
        <v>58126.359375</v>
      </c>
      <c r="M26" s="109">
        <f t="shared" si="10"/>
        <v>87189.5390625</v>
      </c>
      <c r="N26" s="109">
        <f t="shared" si="10"/>
        <v>130784.30859375</v>
      </c>
      <c r="O26" s="109">
        <f t="shared" si="10"/>
        <v>196176.462890625</v>
      </c>
      <c r="P26" s="109">
        <f t="shared" si="10"/>
        <v>294264.6943359375</v>
      </c>
      <c r="Q26" s="109">
        <f t="shared" si="10"/>
        <v>441397.04150390625</v>
      </c>
      <c r="R26" s="110">
        <f t="shared" si="10"/>
        <v>662095.5622558594</v>
      </c>
    </row>
    <row r="27" spans="2:18" s="100" customFormat="1" ht="17.25" customHeight="1">
      <c r="B27" s="111" t="s">
        <v>67</v>
      </c>
      <c r="C27" s="112"/>
      <c r="D27" s="113"/>
      <c r="E27" s="112"/>
      <c r="F27" s="112"/>
      <c r="G27" s="112"/>
      <c r="H27" s="112"/>
      <c r="I27" s="113"/>
      <c r="J27" s="112"/>
      <c r="K27" s="112"/>
      <c r="L27" s="112"/>
      <c r="M27" s="112"/>
      <c r="N27" s="113"/>
      <c r="O27" s="112"/>
      <c r="P27" s="112"/>
      <c r="Q27" s="112"/>
      <c r="R27" s="114"/>
    </row>
    <row r="28" spans="2:18" s="100" customFormat="1" ht="17.25" customHeight="1">
      <c r="B28" s="115" t="s">
        <v>77</v>
      </c>
      <c r="C28" s="116"/>
      <c r="D28" s="116">
        <f>($N$23-$R$23)*D14*D10/1000</f>
        <v>287038.92000000004</v>
      </c>
      <c r="E28" s="116">
        <f aca="true" t="shared" si="11" ref="E28:R28">($N$23-$R$23)*E14*E10/1000</f>
        <v>430558.38000000006</v>
      </c>
      <c r="F28" s="116">
        <f t="shared" si="11"/>
        <v>645837.5700000001</v>
      </c>
      <c r="G28" s="116">
        <f t="shared" si="11"/>
        <v>968756.3550000001</v>
      </c>
      <c r="H28" s="116">
        <f t="shared" si="11"/>
        <v>1453134.5325000002</v>
      </c>
      <c r="I28" s="116">
        <f t="shared" si="11"/>
        <v>2179701.7987500005</v>
      </c>
      <c r="J28" s="116">
        <f t="shared" si="11"/>
        <v>3269552.6981250006</v>
      </c>
      <c r="K28" s="116">
        <f t="shared" si="11"/>
        <v>4904329.047187501</v>
      </c>
      <c r="L28" s="116">
        <f t="shared" si="11"/>
        <v>7356493.570781251</v>
      </c>
      <c r="M28" s="116">
        <f t="shared" si="11"/>
        <v>11034740.356171876</v>
      </c>
      <c r="N28" s="116">
        <f t="shared" si="11"/>
        <v>16552110.534257816</v>
      </c>
      <c r="O28" s="116">
        <f t="shared" si="11"/>
        <v>24828165.80138672</v>
      </c>
      <c r="P28" s="116">
        <f t="shared" si="11"/>
        <v>37242248.702080086</v>
      </c>
      <c r="Q28" s="116">
        <f t="shared" si="11"/>
        <v>55863373.05312012</v>
      </c>
      <c r="R28" s="117">
        <f t="shared" si="11"/>
        <v>83795059.57968019</v>
      </c>
    </row>
    <row r="29" spans="2:18" ht="17.25" customHeight="1">
      <c r="B29" s="115" t="s">
        <v>78</v>
      </c>
      <c r="C29" s="118"/>
      <c r="D29" s="119">
        <f>D28*$E$24</f>
        <v>287038920.00000006</v>
      </c>
      <c r="E29" s="40">
        <f aca="true" t="shared" si="12" ref="E29:R29">E28*$E$24</f>
        <v>430558380.00000006</v>
      </c>
      <c r="F29" s="40">
        <f t="shared" si="12"/>
        <v>645837570.0000001</v>
      </c>
      <c r="G29" s="40">
        <f t="shared" si="12"/>
        <v>968756355.0000001</v>
      </c>
      <c r="H29" s="40">
        <f t="shared" si="12"/>
        <v>1453134532.5000002</v>
      </c>
      <c r="I29" s="40">
        <f t="shared" si="12"/>
        <v>2179701798.7500005</v>
      </c>
      <c r="J29" s="40">
        <f t="shared" si="12"/>
        <v>3269552698.1250005</v>
      </c>
      <c r="K29" s="40">
        <f t="shared" si="12"/>
        <v>4904329047.187501</v>
      </c>
      <c r="L29" s="40">
        <f t="shared" si="12"/>
        <v>7356493570.781251</v>
      </c>
      <c r="M29" s="40">
        <f t="shared" si="12"/>
        <v>11034740356.171877</v>
      </c>
      <c r="N29" s="40">
        <f t="shared" si="12"/>
        <v>16552110534.257816</v>
      </c>
      <c r="O29" s="40">
        <f t="shared" si="12"/>
        <v>24828165801.386723</v>
      </c>
      <c r="P29" s="40">
        <f t="shared" si="12"/>
        <v>37242248702.080086</v>
      </c>
      <c r="Q29" s="40">
        <f t="shared" si="12"/>
        <v>55863373053.120125</v>
      </c>
      <c r="R29" s="120">
        <f t="shared" si="12"/>
        <v>83795059579.68019</v>
      </c>
    </row>
    <row r="30" spans="2:18" ht="17.25" customHeight="1">
      <c r="B30" s="111" t="s">
        <v>72</v>
      </c>
      <c r="C30" s="118"/>
      <c r="D30" s="119"/>
      <c r="E30" s="118"/>
      <c r="F30" s="118"/>
      <c r="G30" s="118"/>
      <c r="H30" s="118"/>
      <c r="I30" s="119"/>
      <c r="J30" s="118"/>
      <c r="K30" s="118"/>
      <c r="L30" s="118"/>
      <c r="M30" s="118"/>
      <c r="N30" s="119"/>
      <c r="O30" s="118"/>
      <c r="P30" s="118"/>
      <c r="Q30" s="118"/>
      <c r="R30" s="121"/>
    </row>
    <row r="31" spans="2:18" ht="17.25" customHeight="1">
      <c r="B31" s="111" t="s">
        <v>71</v>
      </c>
      <c r="C31" s="118"/>
      <c r="D31" s="119"/>
      <c r="E31" s="118"/>
      <c r="F31" s="118"/>
      <c r="G31" s="118"/>
      <c r="H31" s="118"/>
      <c r="I31" s="119"/>
      <c r="J31" s="118"/>
      <c r="K31" s="118"/>
      <c r="L31" s="118"/>
      <c r="M31" s="118"/>
      <c r="N31" s="119"/>
      <c r="O31" s="118"/>
      <c r="P31" s="118"/>
      <c r="Q31" s="118"/>
      <c r="R31" s="121"/>
    </row>
    <row r="32" spans="2:18" ht="17.25" customHeight="1" thickBot="1">
      <c r="B32" s="122" t="s">
        <v>73</v>
      </c>
      <c r="C32" s="123"/>
      <c r="D32" s="124"/>
      <c r="E32" s="123"/>
      <c r="F32" s="123"/>
      <c r="G32" s="123"/>
      <c r="H32" s="123"/>
      <c r="I32" s="124"/>
      <c r="J32" s="123"/>
      <c r="K32" s="123"/>
      <c r="L32" s="123"/>
      <c r="M32" s="123"/>
      <c r="N32" s="124"/>
      <c r="O32" s="123"/>
      <c r="P32" s="123"/>
      <c r="Q32" s="123"/>
      <c r="R32" s="125"/>
    </row>
    <row r="33" spans="4:18" ht="17.25" customHeight="1" thickBot="1" thickTop="1">
      <c r="D33" s="38"/>
      <c r="I33" s="38"/>
      <c r="N33" s="38"/>
      <c r="R33" s="38"/>
    </row>
    <row r="34" spans="2:5" ht="21" customHeight="1" thickBot="1" thickTop="1">
      <c r="B34" s="78" t="s">
        <v>34</v>
      </c>
      <c r="C34" s="21"/>
      <c r="D34" s="21"/>
      <c r="E34" s="21"/>
    </row>
    <row r="35" spans="2:13" ht="15.75" customHeight="1" thickBot="1" thickTop="1">
      <c r="B35" s="79" t="s">
        <v>33</v>
      </c>
      <c r="C35" s="71" t="s">
        <v>19</v>
      </c>
      <c r="D35" s="63" t="s">
        <v>23</v>
      </c>
      <c r="E35" s="63" t="s">
        <v>24</v>
      </c>
      <c r="F35" s="63" t="s">
        <v>25</v>
      </c>
      <c r="G35" s="63" t="s">
        <v>26</v>
      </c>
      <c r="H35" s="63" t="s">
        <v>27</v>
      </c>
      <c r="I35" s="63" t="s">
        <v>28</v>
      </c>
      <c r="J35" s="63" t="s">
        <v>29</v>
      </c>
      <c r="K35" s="63" t="s">
        <v>30</v>
      </c>
      <c r="L35" s="63" t="s">
        <v>31</v>
      </c>
      <c r="M35" s="64" t="s">
        <v>32</v>
      </c>
    </row>
    <row r="36" spans="2:13" ht="15.75" customHeight="1" thickTop="1">
      <c r="B36" s="75" t="s">
        <v>20</v>
      </c>
      <c r="C36" s="72">
        <v>522459</v>
      </c>
      <c r="D36" s="61">
        <v>1611461</v>
      </c>
      <c r="E36" s="61">
        <v>5047210</v>
      </c>
      <c r="F36" s="61">
        <v>2133223</v>
      </c>
      <c r="G36" s="61">
        <v>470906</v>
      </c>
      <c r="H36" s="61">
        <v>2613482</v>
      </c>
      <c r="I36" s="61">
        <v>1011798</v>
      </c>
      <c r="J36" s="61">
        <v>576262</v>
      </c>
      <c r="K36" s="61">
        <v>1408727</v>
      </c>
      <c r="L36" s="61">
        <v>150768</v>
      </c>
      <c r="M36" s="62">
        <f>SUM(C36:L36)</f>
        <v>15546296</v>
      </c>
    </row>
    <row r="37" spans="2:13" ht="15.75" customHeight="1">
      <c r="B37" s="76" t="s">
        <v>21</v>
      </c>
      <c r="C37" s="73">
        <v>594559</v>
      </c>
      <c r="D37" s="7">
        <v>1843233</v>
      </c>
      <c r="E37" s="7">
        <v>5887575</v>
      </c>
      <c r="F37" s="7">
        <v>2509982</v>
      </c>
      <c r="G37" s="7">
        <v>524600</v>
      </c>
      <c r="H37" s="7">
        <v>2789574</v>
      </c>
      <c r="I37" s="7">
        <v>1173725</v>
      </c>
      <c r="J37" s="7">
        <v>635132</v>
      </c>
      <c r="K37" s="7">
        <v>1524193</v>
      </c>
      <c r="L37" s="7">
        <v>173136</v>
      </c>
      <c r="M37" s="17">
        <f>SUM(C37:L37)</f>
        <v>17655709</v>
      </c>
    </row>
    <row r="38" spans="2:13" ht="15.75" customHeight="1" thickBot="1">
      <c r="B38" s="77" t="s">
        <v>22</v>
      </c>
      <c r="C38" s="74">
        <f aca="true" t="shared" si="13" ref="C38:M38">POWER(C37/C36,1/4)-1</f>
        <v>0.032846270529689914</v>
      </c>
      <c r="D38" s="18">
        <f t="shared" si="13"/>
        <v>0.03416565224412249</v>
      </c>
      <c r="E38" s="18">
        <f t="shared" si="13"/>
        <v>0.03925295826659281</v>
      </c>
      <c r="F38" s="18">
        <f t="shared" si="13"/>
        <v>0.041498352691378804</v>
      </c>
      <c r="G38" s="18">
        <f t="shared" si="13"/>
        <v>0.027362041482264177</v>
      </c>
      <c r="H38" s="18">
        <f t="shared" si="13"/>
        <v>0.016434958234977426</v>
      </c>
      <c r="I38" s="18">
        <f t="shared" si="13"/>
        <v>0.03781067747435607</v>
      </c>
      <c r="J38" s="18">
        <f t="shared" si="13"/>
        <v>0.024615692592724336</v>
      </c>
      <c r="K38" s="18">
        <f t="shared" si="13"/>
        <v>0.019889876742344104</v>
      </c>
      <c r="L38" s="18">
        <f t="shared" si="13"/>
        <v>0.03518876873795129</v>
      </c>
      <c r="M38" s="19">
        <f t="shared" si="13"/>
        <v>0.03232051363516275</v>
      </c>
    </row>
    <row r="39" ht="14.25" thickTop="1"/>
    <row r="40" spans="2:3" ht="18" customHeight="1">
      <c r="B40" s="6" t="s">
        <v>46</v>
      </c>
      <c r="C40" t="s">
        <v>45</v>
      </c>
    </row>
    <row r="42" ht="13.5" customHeight="1" thickBot="1"/>
    <row r="43" spans="2:18" ht="18.75" customHeight="1" thickBot="1" thickTop="1">
      <c r="B43" s="49"/>
      <c r="C43" s="59" t="s">
        <v>1</v>
      </c>
      <c r="D43" s="59" t="s">
        <v>2</v>
      </c>
      <c r="E43" s="59" t="s">
        <v>3</v>
      </c>
      <c r="F43" s="59" t="s">
        <v>4</v>
      </c>
      <c r="G43" s="59" t="s">
        <v>5</v>
      </c>
      <c r="H43" s="59" t="s">
        <v>6</v>
      </c>
      <c r="I43" s="59" t="s">
        <v>7</v>
      </c>
      <c r="J43" s="59" t="s">
        <v>8</v>
      </c>
      <c r="K43" s="59" t="s">
        <v>9</v>
      </c>
      <c r="L43" s="59" t="s">
        <v>10</v>
      </c>
      <c r="M43" s="59" t="s">
        <v>11</v>
      </c>
      <c r="N43" s="59" t="s">
        <v>12</v>
      </c>
      <c r="O43" s="59" t="s">
        <v>13</v>
      </c>
      <c r="P43" s="59" t="s">
        <v>16</v>
      </c>
      <c r="Q43" s="59" t="s">
        <v>14</v>
      </c>
      <c r="R43" s="60" t="s">
        <v>15</v>
      </c>
    </row>
    <row r="44" spans="2:18" s="36" customFormat="1" ht="18.75" customHeight="1" thickTop="1">
      <c r="B44" s="56" t="s">
        <v>57</v>
      </c>
      <c r="C44" s="57">
        <v>234000000</v>
      </c>
      <c r="D44" s="57">
        <f>C44*(1+$M$38)</f>
        <v>241563000.19062808</v>
      </c>
      <c r="E44" s="57">
        <f aca="true" t="shared" si="14" ref="E44:R44">D44*(1+$M$38)</f>
        <v>249370440.4320401</v>
      </c>
      <c r="F44" s="57">
        <f t="shared" si="14"/>
        <v>257430221.15223038</v>
      </c>
      <c r="G44" s="57">
        <f t="shared" si="14"/>
        <v>265750498.125084</v>
      </c>
      <c r="H44" s="57">
        <f t="shared" si="14"/>
        <v>274339690.7232871</v>
      </c>
      <c r="I44" s="57">
        <f t="shared" si="14"/>
        <v>283206490.43797547</v>
      </c>
      <c r="J44" s="57">
        <f t="shared" si="14"/>
        <v>292359869.67374265</v>
      </c>
      <c r="K44" s="57">
        <f t="shared" si="14"/>
        <v>301809090.82790726</v>
      </c>
      <c r="L44" s="57">
        <f t="shared" si="14"/>
        <v>311563715.6632267</v>
      </c>
      <c r="M44" s="57">
        <f t="shared" si="14"/>
        <v>321633614.983542</v>
      </c>
      <c r="N44" s="57">
        <f t="shared" si="14"/>
        <v>332028978.6221443</v>
      </c>
      <c r="O44" s="57">
        <f t="shared" si="14"/>
        <v>342760325.75297046</v>
      </c>
      <c r="P44" s="57">
        <f t="shared" si="14"/>
        <v>353838515.5350622</v>
      </c>
      <c r="Q44" s="57">
        <f t="shared" si="14"/>
        <v>365274758.1010589</v>
      </c>
      <c r="R44" s="58">
        <f t="shared" si="14"/>
        <v>377080625.90084493</v>
      </c>
    </row>
    <row r="45" spans="2:18" s="36" customFormat="1" ht="18.75" customHeight="1">
      <c r="B45" s="39" t="s">
        <v>62</v>
      </c>
      <c r="C45" s="40">
        <f>2144200+C9</f>
        <v>2224200</v>
      </c>
      <c r="D45" s="41">
        <f aca="true" t="shared" si="15" ref="D45:R45">C45+D9</f>
        <v>2344200</v>
      </c>
      <c r="E45" s="41">
        <f t="shared" si="15"/>
        <v>2524200</v>
      </c>
      <c r="F45" s="41">
        <f t="shared" si="15"/>
        <v>2794200</v>
      </c>
      <c r="G45" s="41">
        <f t="shared" si="15"/>
        <v>3199200</v>
      </c>
      <c r="H45" s="41">
        <f t="shared" si="15"/>
        <v>3806700</v>
      </c>
      <c r="I45" s="41">
        <f t="shared" si="15"/>
        <v>4717950</v>
      </c>
      <c r="J45" s="41">
        <f t="shared" si="15"/>
        <v>6084825</v>
      </c>
      <c r="K45" s="41">
        <f t="shared" si="15"/>
        <v>8135137.5</v>
      </c>
      <c r="L45" s="41">
        <f t="shared" si="15"/>
        <v>11210606.25</v>
      </c>
      <c r="M45" s="41">
        <f t="shared" si="15"/>
        <v>15823809.375</v>
      </c>
      <c r="N45" s="41">
        <f t="shared" si="15"/>
        <v>22743614.0625</v>
      </c>
      <c r="O45" s="41">
        <f t="shared" si="15"/>
        <v>33123321.09375</v>
      </c>
      <c r="P45" s="41">
        <f t="shared" si="15"/>
        <v>48692881.640625</v>
      </c>
      <c r="Q45" s="41">
        <f t="shared" si="15"/>
        <v>72047222.4609375</v>
      </c>
      <c r="R45" s="42">
        <f t="shared" si="15"/>
        <v>107078733.69140625</v>
      </c>
    </row>
    <row r="46" spans="2:18" s="36" customFormat="1" ht="18.75" customHeight="1" thickBot="1">
      <c r="B46" s="43" t="s">
        <v>56</v>
      </c>
      <c r="C46" s="44">
        <f>C45/C44</f>
        <v>0.009505128205128206</v>
      </c>
      <c r="D46" s="44">
        <f aca="true" t="shared" si="16" ref="D46:R46">D45/D44</f>
        <v>0.009704300733763398</v>
      </c>
      <c r="E46" s="44">
        <f t="shared" si="16"/>
        <v>0.010122290338930166</v>
      </c>
      <c r="F46" s="44">
        <f t="shared" si="16"/>
        <v>0.010854203471113287</v>
      </c>
      <c r="G46" s="44">
        <f t="shared" si="16"/>
        <v>0.012038359373061998</v>
      </c>
      <c r="H46" s="44">
        <f t="shared" si="16"/>
        <v>0.013875863131447612</v>
      </c>
      <c r="I46" s="44">
        <f t="shared" si="16"/>
        <v>0.016659046170530014</v>
      </c>
      <c r="J46" s="44">
        <f t="shared" si="16"/>
        <v>0.020812791464130582</v>
      </c>
      <c r="K46" s="44">
        <f t="shared" si="16"/>
        <v>0.02695458071751287</v>
      </c>
      <c r="L46" s="44">
        <f t="shared" si="16"/>
        <v>0.035981745262396635</v>
      </c>
      <c r="M46" s="44">
        <f t="shared" si="16"/>
        <v>0.04919824495275378</v>
      </c>
      <c r="N46" s="44">
        <f t="shared" si="16"/>
        <v>0.06849888270861651</v>
      </c>
      <c r="O46" s="44">
        <f t="shared" si="16"/>
        <v>0.09663697518370953</v>
      </c>
      <c r="P46" s="44">
        <f t="shared" si="16"/>
        <v>0.13761328827358812</v>
      </c>
      <c r="Q46" s="44">
        <f t="shared" si="16"/>
        <v>0.197241174932226</v>
      </c>
      <c r="R46" s="54">
        <f t="shared" si="16"/>
        <v>0.2839677414759651</v>
      </c>
    </row>
    <row r="47" spans="2:18" s="36" customFormat="1" ht="13.5" customHeight="1" thickTop="1">
      <c r="B47" s="46"/>
      <c r="C47" s="47"/>
      <c r="D47" s="47"/>
      <c r="E47" s="47"/>
      <c r="F47" s="47"/>
      <c r="G47" s="47"/>
      <c r="H47" s="47"/>
      <c r="I47" s="47"/>
      <c r="J47" s="47"/>
      <c r="K47" s="47"/>
      <c r="L47" s="47"/>
      <c r="M47" s="47"/>
      <c r="N47" s="47"/>
      <c r="O47" s="47"/>
      <c r="P47" s="47"/>
      <c r="Q47" s="47"/>
      <c r="R47" s="47"/>
    </row>
    <row r="48" spans="2:18" s="36" customFormat="1" ht="22.5" customHeight="1">
      <c r="B48" s="53" t="s">
        <v>61</v>
      </c>
      <c r="C48" s="47"/>
      <c r="D48" s="47"/>
      <c r="E48" s="47"/>
      <c r="F48" s="47"/>
      <c r="G48" s="47"/>
      <c r="H48" s="47"/>
      <c r="I48" s="47"/>
      <c r="J48" s="47"/>
      <c r="K48" s="47"/>
      <c r="L48" s="47"/>
      <c r="M48" s="47"/>
      <c r="N48" s="47"/>
      <c r="O48" s="47"/>
      <c r="P48" s="47"/>
      <c r="Q48" s="47"/>
      <c r="R48" s="47"/>
    </row>
    <row r="49" ht="18.75" customHeight="1" thickBot="1"/>
    <row r="50" spans="2:5" ht="21" customHeight="1" thickBot="1" thickTop="1">
      <c r="B50" s="80" t="s">
        <v>63</v>
      </c>
      <c r="C50" s="81">
        <v>0.005</v>
      </c>
      <c r="E50" s="37" t="s">
        <v>60</v>
      </c>
    </row>
    <row r="51" spans="2:32" ht="22.5" customHeight="1" thickBot="1" thickTop="1">
      <c r="B51" s="70" t="s">
        <v>58</v>
      </c>
      <c r="C51" s="82">
        <v>2010</v>
      </c>
      <c r="D51" s="92">
        <v>2011</v>
      </c>
      <c r="E51" s="92">
        <v>2012</v>
      </c>
      <c r="F51" s="92">
        <v>2013</v>
      </c>
      <c r="G51" s="92">
        <v>2014</v>
      </c>
      <c r="H51" s="92">
        <v>2015</v>
      </c>
      <c r="I51" s="92">
        <v>2016</v>
      </c>
      <c r="J51" s="92">
        <v>2017</v>
      </c>
      <c r="K51" s="92">
        <v>2018</v>
      </c>
      <c r="L51" s="92">
        <v>2019</v>
      </c>
      <c r="M51" s="92">
        <v>2020</v>
      </c>
      <c r="N51" s="92">
        <v>2021</v>
      </c>
      <c r="O51" s="92">
        <v>2022</v>
      </c>
      <c r="P51" s="92">
        <v>2023</v>
      </c>
      <c r="Q51" s="92">
        <v>2024</v>
      </c>
      <c r="R51" s="92">
        <v>2025</v>
      </c>
      <c r="S51" s="92">
        <v>2026</v>
      </c>
      <c r="T51" s="92">
        <v>2027</v>
      </c>
      <c r="U51" s="92">
        <v>2028</v>
      </c>
      <c r="V51" s="92">
        <v>2029</v>
      </c>
      <c r="W51" s="92">
        <v>2030</v>
      </c>
      <c r="X51" s="92">
        <v>2031</v>
      </c>
      <c r="Y51" s="92">
        <v>2032</v>
      </c>
      <c r="Z51" s="92">
        <v>2033</v>
      </c>
      <c r="AA51" s="92">
        <v>2034</v>
      </c>
      <c r="AB51" s="92">
        <v>2035</v>
      </c>
      <c r="AC51" s="92">
        <v>2036</v>
      </c>
      <c r="AD51" s="92">
        <v>2037</v>
      </c>
      <c r="AE51" s="92">
        <v>2038</v>
      </c>
      <c r="AF51" s="87">
        <v>2039</v>
      </c>
    </row>
    <row r="52" spans="2:32" s="45" customFormat="1" ht="18.75" customHeight="1" thickTop="1">
      <c r="B52" s="52">
        <v>2010</v>
      </c>
      <c r="C52" s="83">
        <f>D$16+165</f>
        <v>413</v>
      </c>
      <c r="D52" s="93">
        <f>IF(D$51&gt;=$B52+15,0,C52*(1-$C$50))</f>
        <v>410.935</v>
      </c>
      <c r="E52" s="93">
        <f aca="true" t="shared" si="17" ref="E52:R52">IF(E$51&gt;=$B52+15,0,D52*(1-$C$50))</f>
        <v>408.880325</v>
      </c>
      <c r="F52" s="93">
        <f t="shared" si="17"/>
        <v>406.83592337500005</v>
      </c>
      <c r="G52" s="93">
        <f t="shared" si="17"/>
        <v>404.80174375812504</v>
      </c>
      <c r="H52" s="93">
        <f t="shared" si="17"/>
        <v>402.7777350393344</v>
      </c>
      <c r="I52" s="93">
        <f t="shared" si="17"/>
        <v>400.76384636413775</v>
      </c>
      <c r="J52" s="93">
        <f t="shared" si="17"/>
        <v>398.7600271323171</v>
      </c>
      <c r="K52" s="93">
        <f t="shared" si="17"/>
        <v>396.76622699665546</v>
      </c>
      <c r="L52" s="93">
        <f t="shared" si="17"/>
        <v>394.78239586167217</v>
      </c>
      <c r="M52" s="93">
        <f t="shared" si="17"/>
        <v>392.8084838823638</v>
      </c>
      <c r="N52" s="93">
        <f t="shared" si="17"/>
        <v>390.844441462952</v>
      </c>
      <c r="O52" s="93">
        <f t="shared" si="17"/>
        <v>388.8902192556372</v>
      </c>
      <c r="P52" s="93">
        <f t="shared" si="17"/>
        <v>386.945768159359</v>
      </c>
      <c r="Q52" s="93">
        <f t="shared" si="17"/>
        <v>385.01103931856215</v>
      </c>
      <c r="R52" s="93">
        <f t="shared" si="17"/>
        <v>0</v>
      </c>
      <c r="S52" s="93"/>
      <c r="T52" s="93"/>
      <c r="U52" s="93"/>
      <c r="V52" s="93"/>
      <c r="W52" s="93"/>
      <c r="X52" s="93"/>
      <c r="Y52" s="93"/>
      <c r="Z52" s="93"/>
      <c r="AA52" s="93"/>
      <c r="AB52" s="93"/>
      <c r="AC52" s="93"/>
      <c r="AD52" s="93"/>
      <c r="AE52" s="93"/>
      <c r="AF52" s="88"/>
    </row>
    <row r="53" spans="2:32" ht="18.75" customHeight="1">
      <c r="B53" s="50">
        <v>2011</v>
      </c>
      <c r="C53" s="84"/>
      <c r="D53" s="94">
        <f>E$16</f>
        <v>350</v>
      </c>
      <c r="E53" s="94">
        <f>IF(E$51&gt;=$B53+15,0,D53*(1-$C$50))</f>
        <v>348.25</v>
      </c>
      <c r="F53" s="94">
        <f aca="true" t="shared" si="18" ref="F53:S53">IF(F$51&gt;=$B53+15,0,E53*(1-$C$50))</f>
        <v>346.50875</v>
      </c>
      <c r="G53" s="94">
        <f t="shared" si="18"/>
        <v>344.77620625000003</v>
      </c>
      <c r="H53" s="94">
        <f t="shared" si="18"/>
        <v>343.05232521875</v>
      </c>
      <c r="I53" s="94">
        <f t="shared" si="18"/>
        <v>341.33706359265625</v>
      </c>
      <c r="J53" s="94">
        <f t="shared" si="18"/>
        <v>339.630378274693</v>
      </c>
      <c r="K53" s="94">
        <f t="shared" si="18"/>
        <v>337.9322263833195</v>
      </c>
      <c r="L53" s="94">
        <f t="shared" si="18"/>
        <v>336.24256525140294</v>
      </c>
      <c r="M53" s="94">
        <f t="shared" si="18"/>
        <v>334.5613524251459</v>
      </c>
      <c r="N53" s="94">
        <f t="shared" si="18"/>
        <v>332.8885456630202</v>
      </c>
      <c r="O53" s="94">
        <f t="shared" si="18"/>
        <v>331.22410293470506</v>
      </c>
      <c r="P53" s="94">
        <f t="shared" si="18"/>
        <v>329.5679824200315</v>
      </c>
      <c r="Q53" s="94">
        <f t="shared" si="18"/>
        <v>327.92014250793136</v>
      </c>
      <c r="R53" s="94">
        <f t="shared" si="18"/>
        <v>326.2805417953917</v>
      </c>
      <c r="S53" s="94">
        <f t="shared" si="18"/>
        <v>0</v>
      </c>
      <c r="T53" s="95"/>
      <c r="U53" s="95"/>
      <c r="V53" s="95"/>
      <c r="W53" s="95"/>
      <c r="X53" s="95"/>
      <c r="Y53" s="95"/>
      <c r="Z53" s="95"/>
      <c r="AA53" s="95"/>
      <c r="AB53" s="95"/>
      <c r="AC53" s="95"/>
      <c r="AD53" s="95"/>
      <c r="AE53" s="95"/>
      <c r="AF53" s="89"/>
    </row>
    <row r="54" spans="2:32" ht="18.75" customHeight="1">
      <c r="B54" s="50">
        <v>2012</v>
      </c>
      <c r="C54" s="84"/>
      <c r="D54" s="95"/>
      <c r="E54" s="94">
        <f>F$16</f>
        <v>493</v>
      </c>
      <c r="F54" s="94">
        <f>IF(F$51&gt;=$B54+15,0,E54*(1-$C$50))</f>
        <v>490.535</v>
      </c>
      <c r="G54" s="94">
        <f aca="true" t="shared" si="19" ref="G54:T54">IF(G$51&gt;=$B54+15,0,F54*(1-$C$50))</f>
        <v>488.082325</v>
      </c>
      <c r="H54" s="94">
        <f t="shared" si="19"/>
        <v>485.641913375</v>
      </c>
      <c r="I54" s="94">
        <f t="shared" si="19"/>
        <v>483.213703808125</v>
      </c>
      <c r="J54" s="94">
        <f t="shared" si="19"/>
        <v>480.7976352890844</v>
      </c>
      <c r="K54" s="94">
        <f t="shared" si="19"/>
        <v>478.393647112639</v>
      </c>
      <c r="L54" s="94">
        <f t="shared" si="19"/>
        <v>476.0016788770758</v>
      </c>
      <c r="M54" s="94">
        <f t="shared" si="19"/>
        <v>473.62167048269043</v>
      </c>
      <c r="N54" s="94">
        <f t="shared" si="19"/>
        <v>471.253562130277</v>
      </c>
      <c r="O54" s="94">
        <f t="shared" si="19"/>
        <v>468.8972943196256</v>
      </c>
      <c r="P54" s="94">
        <f t="shared" si="19"/>
        <v>466.55280784802744</v>
      </c>
      <c r="Q54" s="94">
        <f t="shared" si="19"/>
        <v>464.2200438087873</v>
      </c>
      <c r="R54" s="94">
        <f t="shared" si="19"/>
        <v>461.89894358974334</v>
      </c>
      <c r="S54" s="94">
        <f t="shared" si="19"/>
        <v>459.5894488717946</v>
      </c>
      <c r="T54" s="94">
        <f t="shared" si="19"/>
        <v>0</v>
      </c>
      <c r="U54" s="95"/>
      <c r="V54" s="95"/>
      <c r="W54" s="95"/>
      <c r="X54" s="95"/>
      <c r="Y54" s="95"/>
      <c r="Z54" s="95"/>
      <c r="AA54" s="95"/>
      <c r="AB54" s="95"/>
      <c r="AC54" s="95"/>
      <c r="AD54" s="95"/>
      <c r="AE54" s="95"/>
      <c r="AF54" s="89"/>
    </row>
    <row r="55" spans="2:32" ht="18.75" customHeight="1">
      <c r="B55" s="50">
        <v>2013</v>
      </c>
      <c r="C55" s="84"/>
      <c r="D55" s="95"/>
      <c r="E55" s="95"/>
      <c r="F55" s="94">
        <f>G$16</f>
        <v>696</v>
      </c>
      <c r="G55" s="94">
        <f>IF(G$51&gt;=$B55+15,0,F55*(1-$C$50))</f>
        <v>692.52</v>
      </c>
      <c r="H55" s="94">
        <f aca="true" t="shared" si="20" ref="H55:U55">IF(H$51&gt;=$B55+15,0,G55*(1-$C$50))</f>
        <v>689.0574</v>
      </c>
      <c r="I55" s="94">
        <f t="shared" si="20"/>
        <v>685.612113</v>
      </c>
      <c r="J55" s="94">
        <f t="shared" si="20"/>
        <v>682.184052435</v>
      </c>
      <c r="K55" s="94">
        <f t="shared" si="20"/>
        <v>678.7731321728251</v>
      </c>
      <c r="L55" s="94">
        <f t="shared" si="20"/>
        <v>675.379266511961</v>
      </c>
      <c r="M55" s="94">
        <f t="shared" si="20"/>
        <v>672.0023701794012</v>
      </c>
      <c r="N55" s="94">
        <f t="shared" si="20"/>
        <v>668.6423583285042</v>
      </c>
      <c r="O55" s="94">
        <f t="shared" si="20"/>
        <v>665.2991465368617</v>
      </c>
      <c r="P55" s="94">
        <f t="shared" si="20"/>
        <v>661.9726508041774</v>
      </c>
      <c r="Q55" s="94">
        <f t="shared" si="20"/>
        <v>658.6627875501565</v>
      </c>
      <c r="R55" s="94">
        <f t="shared" si="20"/>
        <v>655.3694736124057</v>
      </c>
      <c r="S55" s="94">
        <f t="shared" si="20"/>
        <v>652.0926262443437</v>
      </c>
      <c r="T55" s="94">
        <f t="shared" si="20"/>
        <v>648.832163113122</v>
      </c>
      <c r="U55" s="94">
        <f t="shared" si="20"/>
        <v>0</v>
      </c>
      <c r="V55" s="95"/>
      <c r="W55" s="95"/>
      <c r="X55" s="95"/>
      <c r="Y55" s="95"/>
      <c r="Z55" s="95"/>
      <c r="AA55" s="95"/>
      <c r="AB55" s="95"/>
      <c r="AC55" s="95"/>
      <c r="AD55" s="95"/>
      <c r="AE55" s="95"/>
      <c r="AF55" s="89"/>
    </row>
    <row r="56" spans="2:32" ht="18.75" customHeight="1">
      <c r="B56" s="50">
        <v>2014</v>
      </c>
      <c r="C56" s="84"/>
      <c r="D56" s="95"/>
      <c r="E56" s="95"/>
      <c r="F56" s="95"/>
      <c r="G56" s="94">
        <f>H$16</f>
        <v>982</v>
      </c>
      <c r="H56" s="94">
        <f>IF(H$51&gt;=$B56+15,0,G56*(1-$C$50))</f>
        <v>977.09</v>
      </c>
      <c r="I56" s="94">
        <f aca="true" t="shared" si="21" ref="I56:V56">IF(I$51&gt;=$B56+15,0,H56*(1-$C$50))</f>
        <v>972.20455</v>
      </c>
      <c r="J56" s="94">
        <f t="shared" si="21"/>
        <v>967.3435272500001</v>
      </c>
      <c r="K56" s="94">
        <f t="shared" si="21"/>
        <v>962.5068096137501</v>
      </c>
      <c r="L56" s="94">
        <f t="shared" si="21"/>
        <v>957.6942755656813</v>
      </c>
      <c r="M56" s="94">
        <f t="shared" si="21"/>
        <v>952.9058041878529</v>
      </c>
      <c r="N56" s="94">
        <f t="shared" si="21"/>
        <v>948.1412751669137</v>
      </c>
      <c r="O56" s="94">
        <f t="shared" si="21"/>
        <v>943.4005687910792</v>
      </c>
      <c r="P56" s="94">
        <f t="shared" si="21"/>
        <v>938.6835659471238</v>
      </c>
      <c r="Q56" s="94">
        <f t="shared" si="21"/>
        <v>933.9901481173882</v>
      </c>
      <c r="R56" s="94">
        <f t="shared" si="21"/>
        <v>929.3201973768013</v>
      </c>
      <c r="S56" s="94">
        <f t="shared" si="21"/>
        <v>924.6735963899173</v>
      </c>
      <c r="T56" s="94">
        <f t="shared" si="21"/>
        <v>920.0502284079677</v>
      </c>
      <c r="U56" s="94">
        <f t="shared" si="21"/>
        <v>915.4499772659278</v>
      </c>
      <c r="V56" s="94">
        <f t="shared" si="21"/>
        <v>0</v>
      </c>
      <c r="W56" s="95"/>
      <c r="X56" s="95"/>
      <c r="Y56" s="95"/>
      <c r="Z56" s="95"/>
      <c r="AA56" s="95"/>
      <c r="AB56" s="95"/>
      <c r="AC56" s="95"/>
      <c r="AD56" s="95"/>
      <c r="AE56" s="95"/>
      <c r="AF56" s="89"/>
    </row>
    <row r="57" spans="2:32" ht="18.75" customHeight="1">
      <c r="B57" s="50">
        <v>2015</v>
      </c>
      <c r="C57" s="84"/>
      <c r="D57" s="95"/>
      <c r="E57" s="95"/>
      <c r="F57" s="95"/>
      <c r="G57" s="95"/>
      <c r="H57" s="94">
        <f>I$16</f>
        <v>1384</v>
      </c>
      <c r="I57" s="94">
        <f>IF(I$51&gt;=$B57+15,0,H57*(1-$C$50))</f>
        <v>1377.08</v>
      </c>
      <c r="J57" s="94">
        <f aca="true" t="shared" si="22" ref="J57:W57">IF(J$51&gt;=$B57+15,0,I57*(1-$C$50))</f>
        <v>1370.1945999999998</v>
      </c>
      <c r="K57" s="94">
        <f t="shared" si="22"/>
        <v>1363.3436269999997</v>
      </c>
      <c r="L57" s="94">
        <f t="shared" si="22"/>
        <v>1356.5269088649998</v>
      </c>
      <c r="M57" s="94">
        <f t="shared" si="22"/>
        <v>1349.7442743206748</v>
      </c>
      <c r="N57" s="94">
        <f t="shared" si="22"/>
        <v>1342.9955529490715</v>
      </c>
      <c r="O57" s="94">
        <f t="shared" si="22"/>
        <v>1336.2805751843262</v>
      </c>
      <c r="P57" s="94">
        <f t="shared" si="22"/>
        <v>1329.5991723084046</v>
      </c>
      <c r="Q57" s="94">
        <f t="shared" si="22"/>
        <v>1322.9511764468625</v>
      </c>
      <c r="R57" s="94">
        <f t="shared" si="22"/>
        <v>1316.3364205646283</v>
      </c>
      <c r="S57" s="94">
        <f t="shared" si="22"/>
        <v>1309.7547384618051</v>
      </c>
      <c r="T57" s="94">
        <f t="shared" si="22"/>
        <v>1303.2059647694962</v>
      </c>
      <c r="U57" s="94">
        <f t="shared" si="22"/>
        <v>1296.6899349456487</v>
      </c>
      <c r="V57" s="94">
        <f t="shared" si="22"/>
        <v>1290.2064852709204</v>
      </c>
      <c r="W57" s="94">
        <f t="shared" si="22"/>
        <v>0</v>
      </c>
      <c r="X57" s="95"/>
      <c r="Y57" s="95"/>
      <c r="Z57" s="95"/>
      <c r="AA57" s="95"/>
      <c r="AB57" s="95"/>
      <c r="AC57" s="95"/>
      <c r="AD57" s="95"/>
      <c r="AE57" s="95"/>
      <c r="AF57" s="89"/>
    </row>
    <row r="58" spans="2:32" ht="18.75" customHeight="1">
      <c r="B58" s="50">
        <v>2016</v>
      </c>
      <c r="C58" s="84"/>
      <c r="D58" s="95"/>
      <c r="E58" s="95"/>
      <c r="F58" s="95"/>
      <c r="G58" s="95"/>
      <c r="H58" s="95"/>
      <c r="I58" s="94">
        <f>J$16</f>
        <v>1952</v>
      </c>
      <c r="J58" s="94">
        <f>IF(J$51&gt;=$B58+15,0,I58*(1-$C$50))</f>
        <v>1942.24</v>
      </c>
      <c r="K58" s="94">
        <f aca="true" t="shared" si="23" ref="K58:X58">IF(K$51&gt;=$B58+15,0,J58*(1-$C$50))</f>
        <v>1932.5288</v>
      </c>
      <c r="L58" s="94">
        <f t="shared" si="23"/>
        <v>1922.866156</v>
      </c>
      <c r="M58" s="94">
        <f t="shared" si="23"/>
        <v>1913.25182522</v>
      </c>
      <c r="N58" s="94">
        <f t="shared" si="23"/>
        <v>1903.6855660939</v>
      </c>
      <c r="O58" s="94">
        <f t="shared" si="23"/>
        <v>1894.1671382634304</v>
      </c>
      <c r="P58" s="94">
        <f t="shared" si="23"/>
        <v>1884.6963025721132</v>
      </c>
      <c r="Q58" s="94">
        <f t="shared" si="23"/>
        <v>1875.2728210592527</v>
      </c>
      <c r="R58" s="94">
        <f t="shared" si="23"/>
        <v>1865.8964569539564</v>
      </c>
      <c r="S58" s="94">
        <f t="shared" si="23"/>
        <v>1856.5669746691867</v>
      </c>
      <c r="T58" s="94">
        <f t="shared" si="23"/>
        <v>1847.2841397958407</v>
      </c>
      <c r="U58" s="94">
        <f t="shared" si="23"/>
        <v>1838.0477190968616</v>
      </c>
      <c r="V58" s="94">
        <f t="shared" si="23"/>
        <v>1828.8574805013773</v>
      </c>
      <c r="W58" s="94">
        <f t="shared" si="23"/>
        <v>1819.7131930988703</v>
      </c>
      <c r="X58" s="94">
        <f t="shared" si="23"/>
        <v>0</v>
      </c>
      <c r="Y58" s="95"/>
      <c r="Z58" s="95"/>
      <c r="AA58" s="95"/>
      <c r="AB58" s="95"/>
      <c r="AC58" s="95"/>
      <c r="AD58" s="95"/>
      <c r="AE58" s="95"/>
      <c r="AF58" s="89"/>
    </row>
    <row r="59" spans="2:32" ht="18.75" customHeight="1">
      <c r="B59" s="50">
        <v>2017</v>
      </c>
      <c r="C59" s="84"/>
      <c r="D59" s="95"/>
      <c r="E59" s="95"/>
      <c r="F59" s="95"/>
      <c r="G59" s="95"/>
      <c r="H59" s="95"/>
      <c r="I59" s="95"/>
      <c r="J59" s="94">
        <f>K$16</f>
        <v>2753</v>
      </c>
      <c r="K59" s="94">
        <f>IF(K$51&gt;=$B59+15,0,J59*(1-$C$50))</f>
        <v>2739.235</v>
      </c>
      <c r="L59" s="94">
        <f aca="true" t="shared" si="24" ref="L59:Y59">IF(L$51&gt;=$B59+15,0,K59*(1-$C$50))</f>
        <v>2725.538825</v>
      </c>
      <c r="M59" s="94">
        <f t="shared" si="24"/>
        <v>2711.9111308750003</v>
      </c>
      <c r="N59" s="94">
        <f t="shared" si="24"/>
        <v>2698.3515752206254</v>
      </c>
      <c r="O59" s="94">
        <f t="shared" si="24"/>
        <v>2684.859817344522</v>
      </c>
      <c r="P59" s="94">
        <f t="shared" si="24"/>
        <v>2671.4355182577992</v>
      </c>
      <c r="Q59" s="94">
        <f t="shared" si="24"/>
        <v>2658.07834066651</v>
      </c>
      <c r="R59" s="94">
        <f t="shared" si="24"/>
        <v>2644.7879489631773</v>
      </c>
      <c r="S59" s="94">
        <f t="shared" si="24"/>
        <v>2631.564009218361</v>
      </c>
      <c r="T59" s="94">
        <f t="shared" si="24"/>
        <v>2618.4061891722695</v>
      </c>
      <c r="U59" s="94">
        <f t="shared" si="24"/>
        <v>2605.314158226408</v>
      </c>
      <c r="V59" s="94">
        <f t="shared" si="24"/>
        <v>2592.287587435276</v>
      </c>
      <c r="W59" s="94">
        <f t="shared" si="24"/>
        <v>2579.3261494980993</v>
      </c>
      <c r="X59" s="94">
        <f t="shared" si="24"/>
        <v>2566.4295187506086</v>
      </c>
      <c r="Y59" s="94">
        <f t="shared" si="24"/>
        <v>0</v>
      </c>
      <c r="Z59" s="95"/>
      <c r="AA59" s="95"/>
      <c r="AB59" s="95"/>
      <c r="AC59" s="95"/>
      <c r="AD59" s="95"/>
      <c r="AE59" s="95"/>
      <c r="AF59" s="89"/>
    </row>
    <row r="60" spans="2:32" ht="18.75" customHeight="1">
      <c r="B60" s="50">
        <v>2018</v>
      </c>
      <c r="C60" s="84"/>
      <c r="D60" s="95"/>
      <c r="E60" s="95"/>
      <c r="F60" s="95"/>
      <c r="G60" s="95"/>
      <c r="H60" s="95"/>
      <c r="I60" s="95"/>
      <c r="J60" s="95"/>
      <c r="K60" s="94">
        <f>L$16</f>
        <v>3881</v>
      </c>
      <c r="L60" s="94">
        <f>IF(L$51&gt;=$B60+15,0,K60*(1-$C$50))</f>
        <v>3861.595</v>
      </c>
      <c r="M60" s="94">
        <f aca="true" t="shared" si="25" ref="M60:Y60">IF(M$51&gt;=$B60+15,0,L60*(1-$C$50))</f>
        <v>3842.2870249999996</v>
      </c>
      <c r="N60" s="94">
        <f t="shared" si="25"/>
        <v>3823.0755898749994</v>
      </c>
      <c r="O60" s="94">
        <f t="shared" si="25"/>
        <v>3803.960211925624</v>
      </c>
      <c r="P60" s="94">
        <f t="shared" si="25"/>
        <v>3784.940410865996</v>
      </c>
      <c r="Q60" s="94">
        <f t="shared" si="25"/>
        <v>3766.015708811666</v>
      </c>
      <c r="R60" s="94">
        <f t="shared" si="25"/>
        <v>3747.185630267608</v>
      </c>
      <c r="S60" s="94">
        <f t="shared" si="25"/>
        <v>3728.4497021162697</v>
      </c>
      <c r="T60" s="94">
        <f t="shared" si="25"/>
        <v>3709.8074536056884</v>
      </c>
      <c r="U60" s="94">
        <f t="shared" si="25"/>
        <v>3691.25841633766</v>
      </c>
      <c r="V60" s="94">
        <f t="shared" si="25"/>
        <v>3672.8021242559716</v>
      </c>
      <c r="W60" s="94">
        <f t="shared" si="25"/>
        <v>3654.438113634692</v>
      </c>
      <c r="X60" s="94">
        <f t="shared" si="25"/>
        <v>3636.1659230665186</v>
      </c>
      <c r="Y60" s="94">
        <f t="shared" si="25"/>
        <v>3617.985093451186</v>
      </c>
      <c r="Z60" s="94">
        <f>IF(Z$51&gt;=$B60+15,0,Y60*(1-$C$50))</f>
        <v>0</v>
      </c>
      <c r="AA60" s="95"/>
      <c r="AB60" s="95"/>
      <c r="AC60" s="95"/>
      <c r="AD60" s="95"/>
      <c r="AE60" s="95"/>
      <c r="AF60" s="89"/>
    </row>
    <row r="61" spans="2:32" ht="18.75" customHeight="1">
      <c r="B61" s="50">
        <v>2019</v>
      </c>
      <c r="C61" s="84"/>
      <c r="D61" s="95"/>
      <c r="E61" s="95"/>
      <c r="F61" s="95"/>
      <c r="G61" s="95"/>
      <c r="H61" s="95"/>
      <c r="I61" s="95"/>
      <c r="J61" s="95"/>
      <c r="K61" s="95"/>
      <c r="L61" s="94">
        <f>M$16</f>
        <v>5473</v>
      </c>
      <c r="M61" s="94">
        <f>IF(M$51&gt;=$B61+15,0,L61*(1-$C$50))</f>
        <v>5445.635</v>
      </c>
      <c r="N61" s="94">
        <f aca="true" t="shared" si="26" ref="N61:AA61">IF(N$51&gt;=$B61+15,0,M61*(1-$C$50))</f>
        <v>5418.406825</v>
      </c>
      <c r="O61" s="94">
        <f t="shared" si="26"/>
        <v>5391.314790875</v>
      </c>
      <c r="P61" s="94">
        <f t="shared" si="26"/>
        <v>5364.358216920625</v>
      </c>
      <c r="Q61" s="94">
        <f t="shared" si="26"/>
        <v>5337.536425836021</v>
      </c>
      <c r="R61" s="94">
        <f t="shared" si="26"/>
        <v>5310.848743706842</v>
      </c>
      <c r="S61" s="94">
        <f t="shared" si="26"/>
        <v>5284.2944999883075</v>
      </c>
      <c r="T61" s="94">
        <f t="shared" si="26"/>
        <v>5257.873027488366</v>
      </c>
      <c r="U61" s="94">
        <f t="shared" si="26"/>
        <v>5231.583662350924</v>
      </c>
      <c r="V61" s="94">
        <f t="shared" si="26"/>
        <v>5205.425744039169</v>
      </c>
      <c r="W61" s="94">
        <f t="shared" si="26"/>
        <v>5179.3986153189735</v>
      </c>
      <c r="X61" s="94">
        <f t="shared" si="26"/>
        <v>5153.501622242378</v>
      </c>
      <c r="Y61" s="94">
        <f t="shared" si="26"/>
        <v>5127.734114131166</v>
      </c>
      <c r="Z61" s="94">
        <f t="shared" si="26"/>
        <v>5102.095443560511</v>
      </c>
      <c r="AA61" s="94">
        <f t="shared" si="26"/>
        <v>0</v>
      </c>
      <c r="AB61" s="95"/>
      <c r="AC61" s="95"/>
      <c r="AD61" s="95"/>
      <c r="AE61" s="95"/>
      <c r="AF61" s="89"/>
    </row>
    <row r="62" spans="2:32" ht="18.75" customHeight="1">
      <c r="B62" s="50">
        <v>2020</v>
      </c>
      <c r="C62" s="84"/>
      <c r="D62" s="95"/>
      <c r="E62" s="95"/>
      <c r="F62" s="95"/>
      <c r="G62" s="95"/>
      <c r="H62" s="95"/>
      <c r="I62" s="95"/>
      <c r="J62" s="95"/>
      <c r="K62" s="95"/>
      <c r="L62" s="95"/>
      <c r="M62" s="94">
        <f>N$16</f>
        <v>7717</v>
      </c>
      <c r="N62" s="94">
        <f>IF(N$51&gt;=$B62+15,0,M62*(1-$C$50))</f>
        <v>7678.415</v>
      </c>
      <c r="O62" s="94">
        <f aca="true" t="shared" si="27" ref="O62:AB62">IF(O$51&gt;=$B62+15,0,N62*(1-$C$50))</f>
        <v>7640.022925</v>
      </c>
      <c r="P62" s="94">
        <f t="shared" si="27"/>
        <v>7601.822810375</v>
      </c>
      <c r="Q62" s="94">
        <f t="shared" si="27"/>
        <v>7563.8136963231245</v>
      </c>
      <c r="R62" s="94">
        <f t="shared" si="27"/>
        <v>7525.994627841509</v>
      </c>
      <c r="S62" s="94">
        <f t="shared" si="27"/>
        <v>7488.364654702302</v>
      </c>
      <c r="T62" s="94">
        <f t="shared" si="27"/>
        <v>7450.92283142879</v>
      </c>
      <c r="U62" s="94">
        <f t="shared" si="27"/>
        <v>7413.668217271646</v>
      </c>
      <c r="V62" s="94">
        <f t="shared" si="27"/>
        <v>7376.599876185288</v>
      </c>
      <c r="W62" s="94">
        <f t="shared" si="27"/>
        <v>7339.716876804361</v>
      </c>
      <c r="X62" s="94">
        <f t="shared" si="27"/>
        <v>7303.018292420339</v>
      </c>
      <c r="Y62" s="94">
        <f t="shared" si="27"/>
        <v>7266.503200958237</v>
      </c>
      <c r="Z62" s="94">
        <f t="shared" si="27"/>
        <v>7230.170684953446</v>
      </c>
      <c r="AA62" s="94">
        <f t="shared" si="27"/>
        <v>7194.019831528679</v>
      </c>
      <c r="AB62" s="94">
        <f t="shared" si="27"/>
        <v>0</v>
      </c>
      <c r="AC62" s="95"/>
      <c r="AD62" s="95"/>
      <c r="AE62" s="95"/>
      <c r="AF62" s="89"/>
    </row>
    <row r="63" spans="2:32" ht="18.75" customHeight="1">
      <c r="B63" s="50">
        <v>2021</v>
      </c>
      <c r="C63" s="84"/>
      <c r="D63" s="95"/>
      <c r="E63" s="95"/>
      <c r="F63" s="95"/>
      <c r="G63" s="95"/>
      <c r="H63" s="95"/>
      <c r="I63" s="95"/>
      <c r="J63" s="95"/>
      <c r="K63" s="95"/>
      <c r="L63" s="95"/>
      <c r="M63" s="95"/>
      <c r="N63" s="94">
        <f>O$16</f>
        <v>10881</v>
      </c>
      <c r="O63" s="94">
        <f>IF(O$51&gt;=$B63+15,0,N63*(1-$C$50))</f>
        <v>10826.595</v>
      </c>
      <c r="P63" s="94">
        <f aca="true" t="shared" si="28" ref="P63:AC63">IF(P$51&gt;=$B63+15,0,O63*(1-$C$50))</f>
        <v>10772.462024999999</v>
      </c>
      <c r="Q63" s="94">
        <f t="shared" si="28"/>
        <v>10718.599714875</v>
      </c>
      <c r="R63" s="94">
        <f t="shared" si="28"/>
        <v>10665.006716300624</v>
      </c>
      <c r="S63" s="94">
        <f t="shared" si="28"/>
        <v>10611.681682719121</v>
      </c>
      <c r="T63" s="94">
        <f t="shared" si="28"/>
        <v>10558.623274305526</v>
      </c>
      <c r="U63" s="94">
        <f t="shared" si="28"/>
        <v>10505.830157933999</v>
      </c>
      <c r="V63" s="94">
        <f t="shared" si="28"/>
        <v>10453.301007144328</v>
      </c>
      <c r="W63" s="94">
        <f t="shared" si="28"/>
        <v>10401.034502108607</v>
      </c>
      <c r="X63" s="94">
        <f t="shared" si="28"/>
        <v>10349.029329598065</v>
      </c>
      <c r="Y63" s="94">
        <f t="shared" si="28"/>
        <v>10297.284182950074</v>
      </c>
      <c r="Z63" s="94">
        <f t="shared" si="28"/>
        <v>10245.797762035323</v>
      </c>
      <c r="AA63" s="94">
        <f t="shared" si="28"/>
        <v>10194.568773225146</v>
      </c>
      <c r="AB63" s="94">
        <f t="shared" si="28"/>
        <v>10143.59592935902</v>
      </c>
      <c r="AC63" s="94">
        <f t="shared" si="28"/>
        <v>0</v>
      </c>
      <c r="AD63" s="95"/>
      <c r="AE63" s="95"/>
      <c r="AF63" s="89"/>
    </row>
    <row r="64" spans="2:32" ht="18.75" customHeight="1">
      <c r="B64" s="50">
        <v>2022</v>
      </c>
      <c r="C64" s="84"/>
      <c r="D64" s="95"/>
      <c r="E64" s="95"/>
      <c r="F64" s="95"/>
      <c r="G64" s="95"/>
      <c r="H64" s="95"/>
      <c r="I64" s="95"/>
      <c r="J64" s="95"/>
      <c r="K64" s="95"/>
      <c r="L64" s="95"/>
      <c r="M64" s="95"/>
      <c r="N64" s="95"/>
      <c r="O64" s="94">
        <f>P$16</f>
        <v>15343</v>
      </c>
      <c r="P64" s="94">
        <f>IF(P$51&gt;=$B64+15,0,O64*(1-$C$50))</f>
        <v>15266.285</v>
      </c>
      <c r="Q64" s="94">
        <f aca="true" t="shared" si="29" ref="Q64:AD64">IF(Q$51&gt;=$B64+15,0,P64*(1-$C$50))</f>
        <v>15189.953575</v>
      </c>
      <c r="R64" s="94">
        <f t="shared" si="29"/>
        <v>15114.003807125</v>
      </c>
      <c r="S64" s="94">
        <f t="shared" si="29"/>
        <v>15038.433788089375</v>
      </c>
      <c r="T64" s="94">
        <f t="shared" si="29"/>
        <v>14963.241619148928</v>
      </c>
      <c r="U64" s="94">
        <f t="shared" si="29"/>
        <v>14888.425411053184</v>
      </c>
      <c r="V64" s="94">
        <f t="shared" si="29"/>
        <v>14813.983283997917</v>
      </c>
      <c r="W64" s="94">
        <f t="shared" si="29"/>
        <v>14739.913367577927</v>
      </c>
      <c r="X64" s="94">
        <f t="shared" si="29"/>
        <v>14666.213800740037</v>
      </c>
      <c r="Y64" s="94">
        <f t="shared" si="29"/>
        <v>14592.882731736338</v>
      </c>
      <c r="Z64" s="94">
        <f t="shared" si="29"/>
        <v>14519.918318077656</v>
      </c>
      <c r="AA64" s="94">
        <f t="shared" si="29"/>
        <v>14447.318726487269</v>
      </c>
      <c r="AB64" s="94">
        <f t="shared" si="29"/>
        <v>14375.082132854832</v>
      </c>
      <c r="AC64" s="94">
        <f t="shared" si="29"/>
        <v>14303.206722190558</v>
      </c>
      <c r="AD64" s="94">
        <f t="shared" si="29"/>
        <v>0</v>
      </c>
      <c r="AE64" s="95"/>
      <c r="AF64" s="89"/>
    </row>
    <row r="65" spans="2:32" ht="18.75" customHeight="1">
      <c r="B65" s="50">
        <v>2023</v>
      </c>
      <c r="C65" s="84"/>
      <c r="D65" s="95"/>
      <c r="E65" s="95"/>
      <c r="F65" s="95"/>
      <c r="G65" s="95"/>
      <c r="H65" s="95"/>
      <c r="I65" s="95"/>
      <c r="J65" s="95"/>
      <c r="K65" s="95"/>
      <c r="L65" s="95"/>
      <c r="M65" s="95"/>
      <c r="N65" s="95"/>
      <c r="O65" s="95"/>
      <c r="P65" s="94">
        <f>Q$16</f>
        <v>21633</v>
      </c>
      <c r="Q65" s="94">
        <f>IF(Q$51&gt;=$B65+15,0,P65*(1-$C$50))</f>
        <v>21524.835</v>
      </c>
      <c r="R65" s="94">
        <f aca="true" t="shared" si="30" ref="R65:AE65">IF(R$51&gt;=$B65+15,0,Q65*(1-$C$50))</f>
        <v>21417.210825</v>
      </c>
      <c r="S65" s="94">
        <f t="shared" si="30"/>
        <v>21310.124770874998</v>
      </c>
      <c r="T65" s="94">
        <f t="shared" si="30"/>
        <v>21203.574147020623</v>
      </c>
      <c r="U65" s="94">
        <f t="shared" si="30"/>
        <v>21097.55627628552</v>
      </c>
      <c r="V65" s="94">
        <f t="shared" si="30"/>
        <v>20992.06849490409</v>
      </c>
      <c r="W65" s="94">
        <f t="shared" si="30"/>
        <v>20887.10815242957</v>
      </c>
      <c r="X65" s="94">
        <f t="shared" si="30"/>
        <v>20782.67261166742</v>
      </c>
      <c r="Y65" s="94">
        <f t="shared" si="30"/>
        <v>20678.759248609083</v>
      </c>
      <c r="Z65" s="94">
        <f t="shared" si="30"/>
        <v>20575.365452366037</v>
      </c>
      <c r="AA65" s="94">
        <f t="shared" si="30"/>
        <v>20472.488625104208</v>
      </c>
      <c r="AB65" s="94">
        <f t="shared" si="30"/>
        <v>20370.12618197869</v>
      </c>
      <c r="AC65" s="94">
        <f t="shared" si="30"/>
        <v>20268.275551068797</v>
      </c>
      <c r="AD65" s="94">
        <f t="shared" si="30"/>
        <v>20166.934173313453</v>
      </c>
      <c r="AE65" s="94">
        <f t="shared" si="30"/>
        <v>0</v>
      </c>
      <c r="AF65" s="89"/>
    </row>
    <row r="66" spans="2:32" ht="18.75" customHeight="1" thickBot="1">
      <c r="B66" s="51">
        <v>2024</v>
      </c>
      <c r="C66" s="85"/>
      <c r="D66" s="96"/>
      <c r="E66" s="96"/>
      <c r="F66" s="96"/>
      <c r="G66" s="96"/>
      <c r="H66" s="96"/>
      <c r="I66" s="96"/>
      <c r="J66" s="96"/>
      <c r="K66" s="96"/>
      <c r="L66" s="96"/>
      <c r="M66" s="96"/>
      <c r="N66" s="96"/>
      <c r="O66" s="96"/>
      <c r="P66" s="96"/>
      <c r="Q66" s="97">
        <f>R$16</f>
        <v>30503</v>
      </c>
      <c r="R66" s="97">
        <f>IF(R$51&gt;=$B66+15,0,Q66*(1-$C$50))</f>
        <v>30350.485</v>
      </c>
      <c r="S66" s="97">
        <f aca="true" t="shared" si="31" ref="S66:AF66">IF(S$51&gt;=$B66+15,0,R66*(1-$C$50))</f>
        <v>30198.732575</v>
      </c>
      <c r="T66" s="97">
        <f t="shared" si="31"/>
        <v>30047.738912125</v>
      </c>
      <c r="U66" s="97">
        <f t="shared" si="31"/>
        <v>29897.500217564375</v>
      </c>
      <c r="V66" s="97">
        <f t="shared" si="31"/>
        <v>29748.012716476554</v>
      </c>
      <c r="W66" s="97">
        <f t="shared" si="31"/>
        <v>29599.27265289417</v>
      </c>
      <c r="X66" s="97">
        <f t="shared" si="31"/>
        <v>29451.2762896297</v>
      </c>
      <c r="Y66" s="97">
        <f t="shared" si="31"/>
        <v>29304.01990818155</v>
      </c>
      <c r="Z66" s="97">
        <f t="shared" si="31"/>
        <v>29157.499808640645</v>
      </c>
      <c r="AA66" s="97">
        <f t="shared" si="31"/>
        <v>29011.712309597442</v>
      </c>
      <c r="AB66" s="97">
        <f t="shared" si="31"/>
        <v>28866.653748049455</v>
      </c>
      <c r="AC66" s="97">
        <f t="shared" si="31"/>
        <v>28722.320479309208</v>
      </c>
      <c r="AD66" s="97">
        <f t="shared" si="31"/>
        <v>28578.70887691266</v>
      </c>
      <c r="AE66" s="97">
        <f t="shared" si="31"/>
        <v>28435.8153325281</v>
      </c>
      <c r="AF66" s="90">
        <f t="shared" si="31"/>
        <v>0</v>
      </c>
    </row>
    <row r="67" spans="2:32" ht="25.5" customHeight="1" thickBot="1" thickTop="1">
      <c r="B67" s="55" t="s">
        <v>59</v>
      </c>
      <c r="C67" s="86">
        <f>SUM(C52:C66)</f>
        <v>413</v>
      </c>
      <c r="D67" s="98">
        <f aca="true" t="shared" si="32" ref="D67:AF67">SUM(D52:D66)</f>
        <v>760.935</v>
      </c>
      <c r="E67" s="98">
        <f t="shared" si="32"/>
        <v>1250.130325</v>
      </c>
      <c r="F67" s="98">
        <f t="shared" si="32"/>
        <v>1939.879673375</v>
      </c>
      <c r="G67" s="98">
        <f t="shared" si="32"/>
        <v>2912.180275008125</v>
      </c>
      <c r="H67" s="98">
        <f t="shared" si="32"/>
        <v>4281.619373633084</v>
      </c>
      <c r="I67" s="98">
        <f t="shared" si="32"/>
        <v>6212.211276764919</v>
      </c>
      <c r="J67" s="98">
        <f t="shared" si="32"/>
        <v>8934.150220381094</v>
      </c>
      <c r="K67" s="98">
        <f t="shared" si="32"/>
        <v>12770.47946927919</v>
      </c>
      <c r="L67" s="98">
        <f t="shared" si="32"/>
        <v>18179.627071932795</v>
      </c>
      <c r="M67" s="98">
        <f t="shared" si="32"/>
        <v>25805.728936573127</v>
      </c>
      <c r="N67" s="98">
        <f t="shared" si="32"/>
        <v>36557.700291890265</v>
      </c>
      <c r="O67" s="98">
        <f t="shared" si="32"/>
        <v>51717.911790430815</v>
      </c>
      <c r="P67" s="98">
        <f t="shared" si="32"/>
        <v>73092.32223147865</v>
      </c>
      <c r="Q67" s="98">
        <f t="shared" si="32"/>
        <v>103229.86062032125</v>
      </c>
      <c r="R67" s="98">
        <f t="shared" si="32"/>
        <v>102330.62533309769</v>
      </c>
      <c r="S67" s="98">
        <f t="shared" si="32"/>
        <v>101494.32306734579</v>
      </c>
      <c r="T67" s="98">
        <f t="shared" si="32"/>
        <v>100529.55995038162</v>
      </c>
      <c r="U67" s="98">
        <f t="shared" si="32"/>
        <v>99381.32414833215</v>
      </c>
      <c r="V67" s="98">
        <f t="shared" si="32"/>
        <v>97973.54480021089</v>
      </c>
      <c r="W67" s="98">
        <f t="shared" si="32"/>
        <v>96199.92162336527</v>
      </c>
      <c r="X67" s="98">
        <f t="shared" si="32"/>
        <v>93908.30738811506</v>
      </c>
      <c r="Y67" s="98">
        <f t="shared" si="32"/>
        <v>90885.16848001763</v>
      </c>
      <c r="Z67" s="98">
        <f t="shared" si="32"/>
        <v>86830.84746963362</v>
      </c>
      <c r="AA67" s="98">
        <f t="shared" si="32"/>
        <v>81320.10826594275</v>
      </c>
      <c r="AB67" s="98">
        <f t="shared" si="32"/>
        <v>73755.457992242</v>
      </c>
      <c r="AC67" s="98">
        <f t="shared" si="32"/>
        <v>63293.80275256856</v>
      </c>
      <c r="AD67" s="98">
        <f t="shared" si="32"/>
        <v>48745.643050226114</v>
      </c>
      <c r="AE67" s="98">
        <f t="shared" si="32"/>
        <v>28435.8153325281</v>
      </c>
      <c r="AF67" s="91">
        <f t="shared" si="32"/>
        <v>0</v>
      </c>
    </row>
    <row r="68" ht="18.75" customHeight="1" thickTop="1"/>
    <row r="69" ht="18.75" customHeight="1"/>
  </sheetData>
  <sheetProtection/>
  <mergeCells count="7">
    <mergeCell ref="O23:Q23"/>
    <mergeCell ref="F5:G5"/>
    <mergeCell ref="I5:J5"/>
    <mergeCell ref="L5:M5"/>
    <mergeCell ref="O5:P5"/>
    <mergeCell ref="E3:H3"/>
    <mergeCell ref="I3:K3"/>
  </mergeCells>
  <printOptions/>
  <pageMargins left="0.7086614173228347" right="0.7086614173228347" top="0.7480314960629921" bottom="0.7480314960629921" header="0.31496062992125984" footer="0.31496062992125984"/>
  <pageSetup horizontalDpi="600" verticalDpi="600" orientation="landscape" paperSize="8" scale="55" r:id="rId1"/>
  <rowBreaks count="1" manualBreakCount="1">
    <brk id="49" min="1"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ahf</dc:creator>
  <cp:keywords/>
  <dc:description/>
  <cp:lastModifiedBy>KoichiYamauchi</cp:lastModifiedBy>
  <cp:lastPrinted>2009-12-14T03:37:17Z</cp:lastPrinted>
  <dcterms:created xsi:type="dcterms:W3CDTF">2009-11-01T03:59:58Z</dcterms:created>
  <dcterms:modified xsi:type="dcterms:W3CDTF">2009-12-27T12:26:49Z</dcterms:modified>
  <cp:category/>
  <cp:version/>
  <cp:contentType/>
  <cp:contentStatus/>
</cp:coreProperties>
</file>