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675" windowHeight="8445" activeTab="0"/>
  </bookViews>
  <sheets>
    <sheet name="設置可能ソーラーkw数" sheetId="1" r:id="rId1"/>
    <sheet name="Sheet3" sheetId="2" r:id="rId2"/>
  </sheets>
  <definedNames>
    <definedName name="_xlnm.Print_Area" localSheetId="0">'設置可能ソーラーkw数'!$C$2:$P$48</definedName>
  </definedNames>
  <calcPr fullCalcOnLoad="1"/>
</workbook>
</file>

<file path=xl/sharedStrings.xml><?xml version="1.0" encoding="utf-8"?>
<sst xmlns="http://schemas.openxmlformats.org/spreadsheetml/2006/main" count="65" uniqueCount="64">
  <si>
    <t>年次</t>
  </si>
  <si>
    <t>初期設定定数</t>
  </si>
  <si>
    <t>福島第一原発発電容量（ＫＷ）</t>
  </si>
  <si>
    <t>更地に1ｋｗを設置する場合に必要な面積（㎡）</t>
  </si>
  <si>
    <t>双葉町</t>
  </si>
  <si>
    <t>大熊町</t>
  </si>
  <si>
    <t>浪江町</t>
  </si>
  <si>
    <t>富岡町</t>
  </si>
  <si>
    <t>楢葉町</t>
  </si>
  <si>
    <t>川内村</t>
  </si>
  <si>
    <t>南相馬市の約75％</t>
  </si>
  <si>
    <t>飯館村</t>
  </si>
  <si>
    <t>葛尾村</t>
  </si>
  <si>
    <t>広野町</t>
  </si>
  <si>
    <t>川俣町の約20％</t>
  </si>
  <si>
    <t>合計</t>
  </si>
  <si>
    <t>原発被災市町村の面積</t>
  </si>
  <si>
    <t>田村市の約33％</t>
  </si>
  <si>
    <t>原発被災市町村の人口</t>
  </si>
  <si>
    <t>原発被災市町村の世帯数</t>
  </si>
  <si>
    <t>SFSC予算（億円）</t>
  </si>
  <si>
    <t>設置容量1ｋｗ当たりの年間発電量（ｋｗｈ）</t>
  </si>
  <si>
    <t>ＦＩＴ単価の年率の低下率</t>
  </si>
  <si>
    <t>ＦＩＴへのＳＦＳＣの付加率</t>
  </si>
  <si>
    <t>ＳＦＳＣを設置した発電事業者にＳＦＳＣを交付する期間（年数）</t>
  </si>
  <si>
    <t>①政府のＦＩＴ単価</t>
  </si>
  <si>
    <t>②ＳＦＳＣの交付金</t>
  </si>
  <si>
    <t>③容量1ｋｗ当たりの年間発電量</t>
  </si>
  <si>
    <t>④容量1ｋｗ当たりの年間交付金</t>
  </si>
  <si>
    <t>⑤容量1ｋｗ当たりの全期間の交付金</t>
  </si>
  <si>
    <t>⑥SFSC年間予算で設置可能な容量（ｋｗ）</t>
  </si>
  <si>
    <t>⑦SFSC年間予算で設置可能な累積容量（ｋｗ）</t>
  </si>
  <si>
    <t>⑧目標達成率</t>
  </si>
  <si>
    <t>⑨更地にソーラーパネルを設置する場合に必要な面積（ｋ㎡）</t>
  </si>
  <si>
    <t>⑪原発被災の11市町村の合計面積(k㎡）</t>
  </si>
  <si>
    <t>⑫被災自治体の面積に占める設置ソーラー発電設備の占有率</t>
  </si>
  <si>
    <r>
      <t>課税標準の軽減＝2/3に軽減　</t>
    </r>
    <r>
      <rPr>
        <b/>
        <sz val="11"/>
        <color indexed="10"/>
        <rFont val="ＭＳ Ｐゴシック"/>
        <family val="3"/>
      </rPr>
      <t>*1</t>
    </r>
  </si>
  <si>
    <t>税率</t>
  </si>
  <si>
    <t>初年度の1kw当たり設置簿価</t>
  </si>
  <si>
    <t>設置設備単価</t>
  </si>
  <si>
    <t>簿価の推移 (単位：百万円）</t>
  </si>
  <si>
    <t>納税固定資産税の推移 (単位：百万円）</t>
  </si>
  <si>
    <t>2012年設置分の設備からの納税固定資産税額</t>
  </si>
  <si>
    <t>2013年設置分の設備からの納税固定資産税額</t>
  </si>
  <si>
    <t>2014年設置分の設備からの納税固定資産税額</t>
  </si>
  <si>
    <t>2015年設置分の設備からの納税固定資産税額</t>
  </si>
  <si>
    <t>2016年設置分の設備からの納税固定資産税額</t>
  </si>
  <si>
    <t>2017年設置分の設備からの納税固定資産税額</t>
  </si>
  <si>
    <t>2018年設置分の設備からの納税固定資産税額</t>
  </si>
  <si>
    <t>2019年設置分の設備からの納税固定資産税額</t>
  </si>
  <si>
    <t>2012年設置分の評価額の推移</t>
  </si>
  <si>
    <t>2013年設置分の評価額の推移</t>
  </si>
  <si>
    <t>2014年設置分の評価額の推移</t>
  </si>
  <si>
    <t>2015年設置分の評価額の推移</t>
  </si>
  <si>
    <t>2016年設置分の評価額の推移</t>
  </si>
  <si>
    <t>2017年設置分の評価額の推移</t>
  </si>
  <si>
    <t>2018年設置分の評価額の推移</t>
  </si>
  <si>
    <t>2019年設置分の評価額の推移</t>
  </si>
  <si>
    <t>西暦年</t>
  </si>
  <si>
    <t>簿価の減価率</t>
  </si>
  <si>
    <t>地元に落とされる太陽光発電設備に対する固定資産税額</t>
  </si>
  <si>
    <t>2％のソーラー福島サーチャージ（ＳＦＳＣ）が可能にする太陽光発電所の規模（ＫＷ）と目標達成率</t>
  </si>
  <si>
    <t>納税固定資産税の合計額 （単位：百万円）</t>
  </si>
  <si>
    <t>原発被災自治体の面積、人口、世帯数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</si>
</sst>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_ "/>
    <numFmt numFmtId="178" formatCode="0.0%"/>
    <numFmt numFmtId="179" formatCode="#,##0.0;[Red]\-#,##0.0"/>
    <numFmt numFmtId="180" formatCode="0.00000_ "/>
    <numFmt numFmtId="181" formatCode="0.0000_ "/>
    <numFmt numFmtId="182" formatCode="0.000_ 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¥-411]#,##0;\-[$¥-411]#,##0"/>
    <numFmt numFmtId="190" formatCode="_-* #,##0_-;\-* #,##0_-;_-* &quot;-&quot;_-;_-@_-"/>
    <numFmt numFmtId="191" formatCode="&quot;Year &quot;##0&quot;&quot;_);\(#,##0&quot;kwh&quot;\)"/>
    <numFmt numFmtId="192" formatCode="&quot;&quot;#,##0.00&quot;kwp&quot;_);\(#,##0&quot;/kwp&quot;\)"/>
    <numFmt numFmtId="193" formatCode="#,##0.000"/>
    <numFmt numFmtId="194" formatCode="#,##0.0000000"/>
    <numFmt numFmtId="195" formatCode="#,##0&quot;年目&quot;_);\(#,##0&quot;枚&quot;\)"/>
    <numFmt numFmtId="196" formatCode="#,##0_);[Red]\(#,##0\)"/>
    <numFmt numFmtId="197" formatCode="#,##0.000000000_);[Red]\(#,##0.000000000\)"/>
    <numFmt numFmtId="198" formatCode="&quot;¥&quot;#,##0.00_);[Red]\(&quot;¥&quot;#,##0.00\)"/>
    <numFmt numFmtId="199" formatCode="&quot;¥&quot;#,##0.000_);[Red]\(&quot;¥&quot;#,##0.000\)"/>
    <numFmt numFmtId="200" formatCode="&quot;¥&quot;#,##0.0_);[Red]\(&quot;¥&quot;#,##0.0\)"/>
    <numFmt numFmtId="201" formatCode="0.0000000_ "/>
    <numFmt numFmtId="202" formatCode="0.00000000_ "/>
    <numFmt numFmtId="203" formatCode="0.0000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9" fontId="0" fillId="0" borderId="0" xfId="42" applyFont="1" applyAlignment="1">
      <alignment vertical="center"/>
    </xf>
    <xf numFmtId="38" fontId="0" fillId="0" borderId="0" xfId="48" applyFon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22" xfId="42" applyNumberFormat="1" applyFont="1" applyBorder="1" applyAlignment="1">
      <alignment vertical="center"/>
    </xf>
    <xf numFmtId="10" fontId="0" fillId="0" borderId="23" xfId="42" applyNumberFormat="1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25" xfId="0" applyBorder="1" applyAlignment="1">
      <alignment vertical="center"/>
    </xf>
    <xf numFmtId="178" fontId="0" fillId="0" borderId="26" xfId="42" applyNumberFormat="1" applyFont="1" applyBorder="1" applyAlignment="1">
      <alignment vertical="center"/>
    </xf>
    <xf numFmtId="178" fontId="0" fillId="0" borderId="27" xfId="42" applyNumberFormat="1" applyFont="1" applyBorder="1" applyAlignment="1">
      <alignment vertical="center"/>
    </xf>
    <xf numFmtId="178" fontId="40" fillId="7" borderId="28" xfId="42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 shrinkToFit="1"/>
    </xf>
    <xf numFmtId="179" fontId="0" fillId="0" borderId="18" xfId="48" applyNumberFormat="1" applyFont="1" applyBorder="1" applyAlignment="1">
      <alignment vertical="center" shrinkToFit="1"/>
    </xf>
    <xf numFmtId="179" fontId="0" fillId="0" borderId="10" xfId="48" applyNumberFormat="1" applyFont="1" applyBorder="1" applyAlignment="1">
      <alignment vertical="center" shrinkToFit="1"/>
    </xf>
    <xf numFmtId="179" fontId="0" fillId="0" borderId="11" xfId="48" applyNumberFormat="1" applyFont="1" applyBorder="1" applyAlignment="1">
      <alignment vertical="center" shrinkToFit="1"/>
    </xf>
    <xf numFmtId="10" fontId="40" fillId="7" borderId="29" xfId="42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0" xfId="0" applyAlignment="1">
      <alignment vertical="center" shrinkToFit="1"/>
    </xf>
    <xf numFmtId="188" fontId="0" fillId="0" borderId="0" xfId="0" applyNumberFormat="1" applyAlignment="1">
      <alignment vertical="center"/>
    </xf>
    <xf numFmtId="0" fontId="0" fillId="0" borderId="34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41" fillId="0" borderId="30" xfId="0" applyFont="1" applyBorder="1" applyAlignment="1">
      <alignment vertical="center" wrapText="1" shrinkToFit="1"/>
    </xf>
    <xf numFmtId="0" fontId="42" fillId="0" borderId="30" xfId="0" applyFont="1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9" fontId="0" fillId="0" borderId="22" xfId="42" applyFont="1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38" fontId="0" fillId="0" borderId="22" xfId="48" applyFont="1" applyBorder="1" applyAlignment="1">
      <alignment vertical="center" wrapText="1" shrinkToFit="1"/>
    </xf>
    <xf numFmtId="189" fontId="3" fillId="0" borderId="30" xfId="0" applyNumberFormat="1" applyFont="1" applyFill="1" applyBorder="1" applyAlignment="1">
      <alignment vertical="center" wrapText="1" shrinkToFit="1"/>
    </xf>
    <xf numFmtId="189" fontId="3" fillId="0" borderId="31" xfId="0" applyNumberFormat="1" applyFont="1" applyFill="1" applyBorder="1" applyAlignment="1">
      <alignment horizontal="center" vertical="center" wrapText="1" shrinkToFit="1"/>
    </xf>
    <xf numFmtId="176" fontId="0" fillId="0" borderId="22" xfId="48" applyNumberFormat="1" applyFont="1" applyFill="1" applyBorder="1" applyAlignment="1">
      <alignment vertical="center" wrapText="1" shrinkToFit="1"/>
    </xf>
    <xf numFmtId="0" fontId="0" fillId="0" borderId="22" xfId="0" applyFill="1" applyBorder="1" applyAlignment="1">
      <alignment vertical="center" wrapText="1" shrinkToFit="1"/>
    </xf>
    <xf numFmtId="194" fontId="3" fillId="0" borderId="22" xfId="0" applyNumberFormat="1" applyFont="1" applyBorder="1" applyAlignment="1">
      <alignment vertical="center" wrapText="1" shrinkToFit="1"/>
    </xf>
    <xf numFmtId="10" fontId="1" fillId="0" borderId="29" xfId="42" applyNumberFormat="1" applyFont="1" applyBorder="1" applyAlignment="1">
      <alignment vertical="center" wrapText="1" shrinkToFit="1"/>
    </xf>
    <xf numFmtId="0" fontId="0" fillId="0" borderId="32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8" fontId="0" fillId="0" borderId="10" xfId="0" applyNumberFormat="1" applyBorder="1" applyAlignment="1">
      <alignment vertical="center" shrinkToFit="1"/>
    </xf>
    <xf numFmtId="188" fontId="0" fillId="0" borderId="11" xfId="0" applyNumberFormat="1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6" fontId="0" fillId="0" borderId="44" xfId="0" applyNumberFormat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3" xfId="0" applyNumberFormat="1" applyBorder="1" applyAlignment="1">
      <alignment vertical="center" shrinkToFit="1"/>
    </xf>
    <xf numFmtId="0" fontId="0" fillId="0" borderId="47" xfId="0" applyBorder="1" applyAlignment="1">
      <alignment vertical="center"/>
    </xf>
    <xf numFmtId="188" fontId="0" fillId="0" borderId="47" xfId="0" applyNumberFormat="1" applyBorder="1" applyAlignment="1">
      <alignment vertical="center" shrinkToFit="1"/>
    </xf>
    <xf numFmtId="188" fontId="0" fillId="0" borderId="48" xfId="0" applyNumberFormat="1" applyBorder="1" applyAlignment="1">
      <alignment vertical="center" shrinkToFit="1"/>
    </xf>
    <xf numFmtId="0" fontId="43" fillId="33" borderId="19" xfId="0" applyFont="1" applyFill="1" applyBorder="1" applyAlignment="1">
      <alignment vertical="center" shrinkToFit="1"/>
    </xf>
    <xf numFmtId="0" fontId="35" fillId="33" borderId="49" xfId="0" applyFont="1" applyFill="1" applyBorder="1" applyAlignment="1">
      <alignment vertical="center" shrinkToFit="1"/>
    </xf>
    <xf numFmtId="188" fontId="35" fillId="33" borderId="50" xfId="0" applyNumberFormat="1" applyFont="1" applyFill="1" applyBorder="1" applyAlignment="1">
      <alignment vertical="center"/>
    </xf>
    <xf numFmtId="188" fontId="35" fillId="33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52" xfId="0" applyFont="1" applyFill="1" applyBorder="1" applyAlignment="1">
      <alignment vertical="center" shrinkToFit="1"/>
    </xf>
    <xf numFmtId="0" fontId="35" fillId="33" borderId="41" xfId="0" applyFont="1" applyFill="1" applyBorder="1" applyAlignment="1">
      <alignment vertical="center" shrinkToFit="1"/>
    </xf>
    <xf numFmtId="9" fontId="43" fillId="33" borderId="53" xfId="42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3" fillId="33" borderId="56" xfId="0" applyFont="1" applyFill="1" applyBorder="1" applyAlignment="1">
      <alignment horizontal="center" vertical="center"/>
    </xf>
    <xf numFmtId="0" fontId="43" fillId="33" borderId="5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I48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3" max="3" width="47.8515625" style="0" customWidth="1"/>
    <col min="4" max="4" width="13.140625" style="0" customWidth="1"/>
    <col min="5" max="11" width="11.421875" style="0" customWidth="1"/>
    <col min="12" max="12" width="12.140625" style="0" customWidth="1"/>
    <col min="13" max="13" width="12.28125" style="0" customWidth="1"/>
    <col min="14" max="16" width="11.421875" style="0" customWidth="1"/>
  </cols>
  <sheetData>
    <row r="1" ht="14.25" thickBot="1"/>
    <row r="2" spans="3:14" ht="58.5" customHeight="1" thickTop="1">
      <c r="C2" s="56"/>
      <c r="D2" s="57" t="s">
        <v>22</v>
      </c>
      <c r="E2" s="57" t="s">
        <v>23</v>
      </c>
      <c r="F2" s="58" t="s">
        <v>21</v>
      </c>
      <c r="G2" s="57" t="s">
        <v>20</v>
      </c>
      <c r="H2" s="58" t="s">
        <v>24</v>
      </c>
      <c r="I2" s="59" t="s">
        <v>2</v>
      </c>
      <c r="J2" s="59" t="s">
        <v>3</v>
      </c>
      <c r="K2" s="57" t="s">
        <v>38</v>
      </c>
      <c r="L2" s="64" t="s">
        <v>59</v>
      </c>
      <c r="M2" s="64" t="s">
        <v>36</v>
      </c>
      <c r="N2" s="65" t="s">
        <v>37</v>
      </c>
    </row>
    <row r="3" spans="3:14" ht="17.25" customHeight="1" thickBot="1">
      <c r="C3" s="60" t="s">
        <v>1</v>
      </c>
      <c r="D3" s="61">
        <v>0.08</v>
      </c>
      <c r="E3" s="61">
        <v>0.1</v>
      </c>
      <c r="F3" s="62">
        <v>1100</v>
      </c>
      <c r="G3" s="62">
        <v>500</v>
      </c>
      <c r="H3" s="62">
        <v>20</v>
      </c>
      <c r="I3" s="63">
        <v>4900000</v>
      </c>
      <c r="J3" s="62">
        <v>19.8</v>
      </c>
      <c r="K3" s="66">
        <v>500000</v>
      </c>
      <c r="L3" s="67">
        <v>0.127</v>
      </c>
      <c r="M3" s="68">
        <v>0.66666667</v>
      </c>
      <c r="N3" s="69">
        <v>0.014</v>
      </c>
    </row>
    <row r="4" spans="4:9" ht="20.25" customHeight="1" thickBot="1" thickTop="1">
      <c r="D4" s="1"/>
      <c r="E4" s="1"/>
      <c r="I4" s="2"/>
    </row>
    <row r="5" spans="3:9" ht="27.75" customHeight="1" thickBot="1" thickTop="1">
      <c r="C5" s="104" t="s">
        <v>61</v>
      </c>
      <c r="D5" s="105"/>
      <c r="E5" s="105"/>
      <c r="F5" s="105"/>
      <c r="G5" s="106"/>
      <c r="H5" s="101"/>
      <c r="I5" s="101"/>
    </row>
    <row r="6" ht="8.25" customHeight="1" thickBot="1" thickTop="1"/>
    <row r="7" spans="3:11" ht="21" customHeight="1" thickBot="1" thickTop="1">
      <c r="C7" s="24" t="s">
        <v>0</v>
      </c>
      <c r="D7" s="17">
        <v>2012</v>
      </c>
      <c r="E7" s="15">
        <v>2013</v>
      </c>
      <c r="F7" s="15">
        <v>2014</v>
      </c>
      <c r="G7" s="15">
        <v>2015</v>
      </c>
      <c r="H7" s="15">
        <v>2016</v>
      </c>
      <c r="I7" s="15">
        <v>2017</v>
      </c>
      <c r="J7" s="15">
        <v>2018</v>
      </c>
      <c r="K7" s="16">
        <v>2019</v>
      </c>
    </row>
    <row r="8" spans="3:11" ht="21" customHeight="1" thickTop="1">
      <c r="C8" s="25" t="s">
        <v>25</v>
      </c>
      <c r="D8" s="18">
        <v>45</v>
      </c>
      <c r="E8" s="13">
        <f aca="true" t="shared" si="0" ref="E8:K8">D8*(1-$D$3)</f>
        <v>41.4</v>
      </c>
      <c r="F8" s="13">
        <f t="shared" si="0"/>
        <v>38.088</v>
      </c>
      <c r="G8" s="13">
        <f t="shared" si="0"/>
        <v>35.040960000000005</v>
      </c>
      <c r="H8" s="13">
        <f t="shared" si="0"/>
        <v>32.237683200000006</v>
      </c>
      <c r="I8" s="13">
        <f t="shared" si="0"/>
        <v>29.658668544000008</v>
      </c>
      <c r="J8" s="13">
        <f t="shared" si="0"/>
        <v>27.28597506048001</v>
      </c>
      <c r="K8" s="14">
        <f t="shared" si="0"/>
        <v>25.10309705564161</v>
      </c>
    </row>
    <row r="9" spans="3:11" ht="21" customHeight="1">
      <c r="C9" s="26" t="s">
        <v>26</v>
      </c>
      <c r="D9" s="19">
        <f>D8*$E$3</f>
        <v>4.5</v>
      </c>
      <c r="E9" s="3">
        <f aca="true" t="shared" si="1" ref="E9:K9">E8*$E$3</f>
        <v>4.14</v>
      </c>
      <c r="F9" s="3">
        <f t="shared" si="1"/>
        <v>3.8088</v>
      </c>
      <c r="G9" s="3">
        <f t="shared" si="1"/>
        <v>3.5040960000000005</v>
      </c>
      <c r="H9" s="3">
        <f t="shared" si="1"/>
        <v>3.223768320000001</v>
      </c>
      <c r="I9" s="3">
        <f t="shared" si="1"/>
        <v>2.965866854400001</v>
      </c>
      <c r="J9" s="3">
        <f t="shared" si="1"/>
        <v>2.728597506048001</v>
      </c>
      <c r="K9" s="4">
        <f t="shared" si="1"/>
        <v>2.510309705564161</v>
      </c>
    </row>
    <row r="10" spans="3:11" ht="21" customHeight="1">
      <c r="C10" s="26" t="s">
        <v>27</v>
      </c>
      <c r="D10" s="20">
        <f>F3</f>
        <v>1100</v>
      </c>
      <c r="E10" s="5">
        <f>D10</f>
        <v>1100</v>
      </c>
      <c r="F10" s="5">
        <f aca="true" t="shared" si="2" ref="F10:K10">E10</f>
        <v>1100</v>
      </c>
      <c r="G10" s="5">
        <f t="shared" si="2"/>
        <v>1100</v>
      </c>
      <c r="H10" s="5">
        <f t="shared" si="2"/>
        <v>1100</v>
      </c>
      <c r="I10" s="5">
        <f t="shared" si="2"/>
        <v>1100</v>
      </c>
      <c r="J10" s="5">
        <f t="shared" si="2"/>
        <v>1100</v>
      </c>
      <c r="K10" s="6">
        <f t="shared" si="2"/>
        <v>1100</v>
      </c>
    </row>
    <row r="11" spans="3:11" ht="21" customHeight="1">
      <c r="C11" s="26" t="s">
        <v>28</v>
      </c>
      <c r="D11" s="21">
        <f>D9*D10</f>
        <v>4950</v>
      </c>
      <c r="E11" s="7">
        <f aca="true" t="shared" si="3" ref="E11:K11">E9*E10</f>
        <v>4554</v>
      </c>
      <c r="F11" s="7">
        <f t="shared" si="3"/>
        <v>4189.68</v>
      </c>
      <c r="G11" s="7">
        <f t="shared" si="3"/>
        <v>3854.5056000000004</v>
      </c>
      <c r="H11" s="7">
        <f t="shared" si="3"/>
        <v>3546.145152000001</v>
      </c>
      <c r="I11" s="7">
        <f t="shared" si="3"/>
        <v>3262.453539840001</v>
      </c>
      <c r="J11" s="7">
        <f t="shared" si="3"/>
        <v>3001.457256652801</v>
      </c>
      <c r="K11" s="8">
        <f t="shared" si="3"/>
        <v>2761.3406761205774</v>
      </c>
    </row>
    <row r="12" spans="3:11" ht="21" customHeight="1">
      <c r="C12" s="26" t="s">
        <v>29</v>
      </c>
      <c r="D12" s="21">
        <f>D11*$H$3</f>
        <v>99000</v>
      </c>
      <c r="E12" s="7">
        <f aca="true" t="shared" si="4" ref="E12:K12">E11*$H$3</f>
        <v>91080</v>
      </c>
      <c r="F12" s="7">
        <f t="shared" si="4"/>
        <v>83793.6</v>
      </c>
      <c r="G12" s="7">
        <f t="shared" si="4"/>
        <v>77090.11200000001</v>
      </c>
      <c r="H12" s="7">
        <f t="shared" si="4"/>
        <v>70922.90304000002</v>
      </c>
      <c r="I12" s="7">
        <f t="shared" si="4"/>
        <v>65249.07079680002</v>
      </c>
      <c r="J12" s="7">
        <f t="shared" si="4"/>
        <v>60029.145133056016</v>
      </c>
      <c r="K12" s="8">
        <f t="shared" si="4"/>
        <v>55226.81352241155</v>
      </c>
    </row>
    <row r="13" spans="3:11" ht="21" customHeight="1">
      <c r="C13" s="26" t="s">
        <v>30</v>
      </c>
      <c r="D13" s="22">
        <f>$G$3*100000000/D12</f>
        <v>505050.50505050505</v>
      </c>
      <c r="E13" s="9">
        <f aca="true" t="shared" si="5" ref="E13:K13">$G$3*100000000/E12</f>
        <v>548967.940272288</v>
      </c>
      <c r="F13" s="9">
        <f t="shared" si="5"/>
        <v>596704.2829046609</v>
      </c>
      <c r="G13" s="9">
        <f t="shared" si="5"/>
        <v>648591.6118528923</v>
      </c>
      <c r="H13" s="9">
        <f t="shared" si="5"/>
        <v>704990.8824487958</v>
      </c>
      <c r="I13" s="9">
        <f t="shared" si="5"/>
        <v>766294.4374443433</v>
      </c>
      <c r="J13" s="9">
        <f t="shared" si="5"/>
        <v>832928.7363525471</v>
      </c>
      <c r="K13" s="10">
        <f t="shared" si="5"/>
        <v>905357.3221223336</v>
      </c>
    </row>
    <row r="14" spans="3:11" ht="21" customHeight="1">
      <c r="C14" s="26" t="s">
        <v>31</v>
      </c>
      <c r="D14" s="23">
        <f>D13</f>
        <v>505050.50505050505</v>
      </c>
      <c r="E14" s="11">
        <f>D14+E13</f>
        <v>1054018.445322793</v>
      </c>
      <c r="F14" s="11">
        <f aca="true" t="shared" si="6" ref="F14:K14">E14+F13</f>
        <v>1650722.7282274538</v>
      </c>
      <c r="G14" s="11">
        <f t="shared" si="6"/>
        <v>2299314.340080346</v>
      </c>
      <c r="H14" s="11">
        <f t="shared" si="6"/>
        <v>3004305.2225291417</v>
      </c>
      <c r="I14" s="11">
        <f t="shared" si="6"/>
        <v>3770599.659973485</v>
      </c>
      <c r="J14" s="11">
        <f t="shared" si="6"/>
        <v>4603528.396326032</v>
      </c>
      <c r="K14" s="12">
        <f t="shared" si="6"/>
        <v>5508885.718448365</v>
      </c>
    </row>
    <row r="15" spans="3:11" ht="21" customHeight="1">
      <c r="C15" s="31" t="s">
        <v>32</v>
      </c>
      <c r="D15" s="32">
        <f>D14/$I$3</f>
        <v>0.1030715316429602</v>
      </c>
      <c r="E15" s="33">
        <f aca="true" t="shared" si="7" ref="E15:K15">E14/$I$3</f>
        <v>0.21510580516791694</v>
      </c>
      <c r="F15" s="33">
        <f t="shared" si="7"/>
        <v>0.33688218943417425</v>
      </c>
      <c r="G15" s="33">
        <f t="shared" si="7"/>
        <v>0.46924782450619307</v>
      </c>
      <c r="H15" s="33">
        <f t="shared" si="7"/>
        <v>0.6131235148018657</v>
      </c>
      <c r="I15" s="33">
        <f t="shared" si="7"/>
        <v>0.7695101346884663</v>
      </c>
      <c r="J15" s="33">
        <f t="shared" si="7"/>
        <v>0.9394955910869452</v>
      </c>
      <c r="K15" s="34">
        <f t="shared" si="7"/>
        <v>1.1242623915200745</v>
      </c>
    </row>
    <row r="16" spans="3:11" ht="21" customHeight="1">
      <c r="C16" s="35" t="s">
        <v>33</v>
      </c>
      <c r="D16" s="36">
        <f>D14*$J$3/1000000</f>
        <v>10</v>
      </c>
      <c r="E16" s="37">
        <f aca="true" t="shared" si="8" ref="E16:K16">E14*$J$3/1000000</f>
        <v>20.8695652173913</v>
      </c>
      <c r="F16" s="37">
        <f t="shared" si="8"/>
        <v>32.68431001890359</v>
      </c>
      <c r="G16" s="37">
        <f t="shared" si="8"/>
        <v>45.52642393359085</v>
      </c>
      <c r="H16" s="37">
        <f t="shared" si="8"/>
        <v>59.485243406077004</v>
      </c>
      <c r="I16" s="37">
        <f t="shared" si="8"/>
        <v>74.65787326747501</v>
      </c>
      <c r="J16" s="37">
        <f t="shared" si="8"/>
        <v>91.14986224725543</v>
      </c>
      <c r="K16" s="38">
        <f t="shared" si="8"/>
        <v>109.07593722527763</v>
      </c>
    </row>
    <row r="17" spans="3:11" ht="21" customHeight="1">
      <c r="C17" s="29" t="s">
        <v>34</v>
      </c>
      <c r="D17" s="22">
        <f aca="true" t="shared" si="9" ref="D17:K17">$P$46</f>
        <v>1424.7876666666666</v>
      </c>
      <c r="E17" s="9">
        <f t="shared" si="9"/>
        <v>1424.7876666666666</v>
      </c>
      <c r="F17" s="9">
        <f t="shared" si="9"/>
        <v>1424.7876666666666</v>
      </c>
      <c r="G17" s="9">
        <f t="shared" si="9"/>
        <v>1424.7876666666666</v>
      </c>
      <c r="H17" s="9">
        <f t="shared" si="9"/>
        <v>1424.7876666666666</v>
      </c>
      <c r="I17" s="9">
        <f t="shared" si="9"/>
        <v>1424.7876666666666</v>
      </c>
      <c r="J17" s="9">
        <f t="shared" si="9"/>
        <v>1424.7876666666666</v>
      </c>
      <c r="K17" s="10">
        <f t="shared" si="9"/>
        <v>1424.7876666666666</v>
      </c>
    </row>
    <row r="18" spans="3:11" ht="23.25" customHeight="1" thickBot="1">
      <c r="C18" s="30" t="s">
        <v>35</v>
      </c>
      <c r="D18" s="28">
        <f>D16/D17</f>
        <v>0.00701858967055442</v>
      </c>
      <c r="E18" s="27">
        <f aca="true" t="shared" si="10" ref="E18:K18">E16/E17</f>
        <v>0.01464749148637444</v>
      </c>
      <c r="F18" s="27">
        <f t="shared" si="10"/>
        <v>0.022939776068787505</v>
      </c>
      <c r="G18" s="27">
        <f t="shared" si="10"/>
        <v>0.03195312887575823</v>
      </c>
      <c r="H18" s="27">
        <f t="shared" si="10"/>
        <v>0.041750251492030745</v>
      </c>
      <c r="I18" s="27">
        <f t="shared" si="10"/>
        <v>0.052399297814066104</v>
      </c>
      <c r="J18" s="27">
        <f t="shared" si="10"/>
        <v>0.06397434816410452</v>
      </c>
      <c r="K18" s="39">
        <f t="shared" si="10"/>
        <v>0.07655592463153758</v>
      </c>
    </row>
    <row r="19" ht="15" thickBot="1" thickTop="1"/>
    <row r="20" ht="26.25" customHeight="1" thickBot="1" thickTop="1">
      <c r="C20" s="97" t="s">
        <v>60</v>
      </c>
    </row>
    <row r="21" spans="3:35" ht="21" customHeight="1" thickBot="1" thickTop="1">
      <c r="C21" s="76" t="s">
        <v>0</v>
      </c>
      <c r="D21" s="77">
        <v>1</v>
      </c>
      <c r="E21" s="77">
        <v>2</v>
      </c>
      <c r="F21" s="77">
        <v>3</v>
      </c>
      <c r="G21" s="77">
        <v>4</v>
      </c>
      <c r="H21" s="77">
        <v>5</v>
      </c>
      <c r="I21" s="77">
        <v>6</v>
      </c>
      <c r="J21" s="77">
        <v>7</v>
      </c>
      <c r="K21" s="77">
        <v>8</v>
      </c>
      <c r="L21" s="77">
        <v>9</v>
      </c>
      <c r="M21" s="77">
        <v>10</v>
      </c>
      <c r="N21" s="77">
        <v>11</v>
      </c>
      <c r="O21" s="77">
        <v>12</v>
      </c>
      <c r="P21" s="77">
        <v>13</v>
      </c>
      <c r="Q21" s="77">
        <v>14</v>
      </c>
      <c r="R21" s="77">
        <v>15</v>
      </c>
      <c r="S21" s="77">
        <v>16</v>
      </c>
      <c r="T21" s="77">
        <v>17</v>
      </c>
      <c r="U21" s="77">
        <v>18</v>
      </c>
      <c r="V21" s="77">
        <v>19</v>
      </c>
      <c r="W21" s="77">
        <v>20</v>
      </c>
      <c r="X21" s="77">
        <v>21</v>
      </c>
      <c r="Y21" s="77">
        <v>22</v>
      </c>
      <c r="Z21" s="77">
        <v>23</v>
      </c>
      <c r="AA21" s="77">
        <v>24</v>
      </c>
      <c r="AB21" s="77">
        <v>25</v>
      </c>
      <c r="AC21" s="77"/>
      <c r="AD21" s="77"/>
      <c r="AE21" s="77"/>
      <c r="AF21" s="77"/>
      <c r="AG21" s="77"/>
      <c r="AH21" s="77"/>
      <c r="AI21" s="78"/>
    </row>
    <row r="22" spans="3:35" ht="14.25" thickBot="1">
      <c r="C22" s="79" t="s">
        <v>58</v>
      </c>
      <c r="D22" s="80">
        <v>2012</v>
      </c>
      <c r="E22" s="80">
        <v>2013</v>
      </c>
      <c r="F22" s="80">
        <v>2014</v>
      </c>
      <c r="G22" s="80">
        <v>2015</v>
      </c>
      <c r="H22" s="80">
        <v>2016</v>
      </c>
      <c r="I22" s="80">
        <v>2017</v>
      </c>
      <c r="J22" s="80">
        <v>2018</v>
      </c>
      <c r="K22" s="80">
        <v>2019</v>
      </c>
      <c r="L22" s="80">
        <v>2020</v>
      </c>
      <c r="M22" s="80">
        <v>2021</v>
      </c>
      <c r="N22" s="80">
        <v>2022</v>
      </c>
      <c r="O22" s="80">
        <v>2023</v>
      </c>
      <c r="P22" s="80">
        <v>2024</v>
      </c>
      <c r="Q22" s="80">
        <v>2025</v>
      </c>
      <c r="R22" s="80">
        <v>2026</v>
      </c>
      <c r="S22" s="80">
        <v>2027</v>
      </c>
      <c r="T22" s="80">
        <v>2028</v>
      </c>
      <c r="U22" s="80">
        <v>2029</v>
      </c>
      <c r="V22" s="80">
        <v>2030</v>
      </c>
      <c r="W22" s="80">
        <v>2031</v>
      </c>
      <c r="X22" s="80">
        <v>2032</v>
      </c>
      <c r="Y22" s="80">
        <v>2033</v>
      </c>
      <c r="Z22" s="80">
        <v>2034</v>
      </c>
      <c r="AA22" s="80">
        <v>2035</v>
      </c>
      <c r="AB22" s="80">
        <v>2036</v>
      </c>
      <c r="AC22" s="80">
        <v>2037</v>
      </c>
      <c r="AD22" s="80">
        <v>2038</v>
      </c>
      <c r="AE22" s="80">
        <v>2039</v>
      </c>
      <c r="AF22" s="80">
        <v>2040</v>
      </c>
      <c r="AG22" s="80">
        <v>2041</v>
      </c>
      <c r="AH22" s="80">
        <v>2042</v>
      </c>
      <c r="AI22" s="81">
        <v>2043</v>
      </c>
    </row>
    <row r="23" spans="3:35" s="54" customFormat="1" ht="15" thickBot="1" thickTop="1">
      <c r="C23" s="82" t="s">
        <v>39</v>
      </c>
      <c r="D23" s="83">
        <f>$K$3</f>
        <v>500000</v>
      </c>
      <c r="E23" s="83">
        <f>D23*(1-$D$3)</f>
        <v>460000</v>
      </c>
      <c r="F23" s="83">
        <f aca="true" t="shared" si="11" ref="F23:K23">E23*(1-$D$3)</f>
        <v>423200</v>
      </c>
      <c r="G23" s="83">
        <f t="shared" si="11"/>
        <v>389344</v>
      </c>
      <c r="H23" s="83">
        <f t="shared" si="11"/>
        <v>358196.48000000004</v>
      </c>
      <c r="I23" s="83">
        <f t="shared" si="11"/>
        <v>329540.7616</v>
      </c>
      <c r="J23" s="83">
        <f t="shared" si="11"/>
        <v>303177.50067200005</v>
      </c>
      <c r="K23" s="83">
        <f t="shared" si="11"/>
        <v>278923.3006182401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</row>
    <row r="24" spans="3:35" s="54" customFormat="1" ht="13.5">
      <c r="C24" s="102" t="s">
        <v>40</v>
      </c>
      <c r="D24" s="86"/>
      <c r="E24" s="86"/>
      <c r="F24" s="86"/>
      <c r="G24" s="86"/>
      <c r="H24" s="86"/>
      <c r="I24" s="86"/>
      <c r="J24" s="86"/>
      <c r="K24" s="86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</row>
    <row r="25" spans="3:35" s="54" customFormat="1" ht="13.5">
      <c r="C25" s="70" t="s">
        <v>50</v>
      </c>
      <c r="D25" s="71">
        <f>IF(D$23*D$13&lt;=D$23*D$13*0.05,D$23*D$13*0.05,D$23*D$13)/1000000</f>
        <v>252525.25252525252</v>
      </c>
      <c r="E25" s="71">
        <f>IF(D25*(1-$L$3)&lt;=$D25*0.05,$D25*0.05,D25*(1-$L$3))</f>
        <v>220454.54545454544</v>
      </c>
      <c r="F25" s="71">
        <f aca="true" t="shared" si="12" ref="F25:AI25">IF(E25*(1-$L$3)&lt;=$D25*0.05,$D25*0.05,E25*(1-$L$3))</f>
        <v>192456.81818181818</v>
      </c>
      <c r="G25" s="71">
        <f t="shared" si="12"/>
        <v>168014.80227272728</v>
      </c>
      <c r="H25" s="71">
        <f t="shared" si="12"/>
        <v>146676.92238409093</v>
      </c>
      <c r="I25" s="71">
        <f t="shared" si="12"/>
        <v>128048.95324131138</v>
      </c>
      <c r="J25" s="71">
        <f t="shared" si="12"/>
        <v>111786.73617966483</v>
      </c>
      <c r="K25" s="71">
        <f t="shared" si="12"/>
        <v>97589.8206848474</v>
      </c>
      <c r="L25" s="71">
        <f t="shared" si="12"/>
        <v>85195.91345787178</v>
      </c>
      <c r="M25" s="71">
        <f t="shared" si="12"/>
        <v>74376.03244872206</v>
      </c>
      <c r="N25" s="71">
        <f t="shared" si="12"/>
        <v>64930.27632773436</v>
      </c>
      <c r="O25" s="71">
        <f t="shared" si="12"/>
        <v>56684.1312341121</v>
      </c>
      <c r="P25" s="71">
        <f t="shared" si="12"/>
        <v>49485.246567379865</v>
      </c>
      <c r="Q25" s="71">
        <f t="shared" si="12"/>
        <v>43200.620253322624</v>
      </c>
      <c r="R25" s="71">
        <f t="shared" si="12"/>
        <v>37714.14148115065</v>
      </c>
      <c r="S25" s="71">
        <f t="shared" si="12"/>
        <v>32924.44551304451</v>
      </c>
      <c r="T25" s="71">
        <f t="shared" si="12"/>
        <v>28743.04093288786</v>
      </c>
      <c r="U25" s="71">
        <f t="shared" si="12"/>
        <v>25092.674734411103</v>
      </c>
      <c r="V25" s="71">
        <f t="shared" si="12"/>
        <v>21905.905043140894</v>
      </c>
      <c r="W25" s="71">
        <f t="shared" si="12"/>
        <v>19123.855102662</v>
      </c>
      <c r="X25" s="71">
        <f t="shared" si="12"/>
        <v>16695.125504623928</v>
      </c>
      <c r="Y25" s="71">
        <f t="shared" si="12"/>
        <v>14574.844565536689</v>
      </c>
      <c r="Z25" s="71">
        <f t="shared" si="12"/>
        <v>12723.839305713529</v>
      </c>
      <c r="AA25" s="71">
        <f t="shared" si="12"/>
        <v>12626.262626262627</v>
      </c>
      <c r="AB25" s="71">
        <f t="shared" si="12"/>
        <v>12626.262626262627</v>
      </c>
      <c r="AC25" s="71">
        <f t="shared" si="12"/>
        <v>12626.262626262627</v>
      </c>
      <c r="AD25" s="71">
        <f t="shared" si="12"/>
        <v>12626.262626262627</v>
      </c>
      <c r="AE25" s="71">
        <f t="shared" si="12"/>
        <v>12626.262626262627</v>
      </c>
      <c r="AF25" s="71">
        <f t="shared" si="12"/>
        <v>12626.262626262627</v>
      </c>
      <c r="AG25" s="71">
        <f t="shared" si="12"/>
        <v>12626.262626262627</v>
      </c>
      <c r="AH25" s="71">
        <f t="shared" si="12"/>
        <v>12626.262626262627</v>
      </c>
      <c r="AI25" s="73">
        <f t="shared" si="12"/>
        <v>12626.262626262627</v>
      </c>
    </row>
    <row r="26" spans="3:35" s="54" customFormat="1" ht="13.5">
      <c r="C26" s="70" t="s">
        <v>51</v>
      </c>
      <c r="D26" s="72"/>
      <c r="E26" s="71">
        <f>IF(E$23*E$13&lt;=E$23*E$13*0.05,E$23*E$13*0.05,E$23*E$13)/1000000</f>
        <v>252525.2525252525</v>
      </c>
      <c r="F26" s="71">
        <f>IF(E26*(1-$L$3)&lt;=$E26*0.05,$E26*0.05,E26*(1-$L$3))</f>
        <v>220454.5454545454</v>
      </c>
      <c r="G26" s="71">
        <f aca="true" t="shared" si="13" ref="G26:AI26">IF(F26*(1-$L$3)&lt;=$E26*0.05,$E26*0.05,F26*(1-$L$3))</f>
        <v>192456.81818181815</v>
      </c>
      <c r="H26" s="71">
        <f t="shared" si="13"/>
        <v>168014.80227272725</v>
      </c>
      <c r="I26" s="71">
        <f t="shared" si="13"/>
        <v>146676.9223840909</v>
      </c>
      <c r="J26" s="71">
        <f t="shared" si="13"/>
        <v>128048.95324131135</v>
      </c>
      <c r="K26" s="71">
        <f t="shared" si="13"/>
        <v>111786.7361796648</v>
      </c>
      <c r="L26" s="71">
        <f t="shared" si="13"/>
        <v>97589.82068484738</v>
      </c>
      <c r="M26" s="71">
        <f t="shared" si="13"/>
        <v>85195.91345787176</v>
      </c>
      <c r="N26" s="71">
        <f t="shared" si="13"/>
        <v>74376.03244872205</v>
      </c>
      <c r="O26" s="71">
        <f t="shared" si="13"/>
        <v>64930.27632773435</v>
      </c>
      <c r="P26" s="71">
        <f t="shared" si="13"/>
        <v>56684.13123411209</v>
      </c>
      <c r="Q26" s="71">
        <f t="shared" si="13"/>
        <v>49485.24656737985</v>
      </c>
      <c r="R26" s="71">
        <f t="shared" si="13"/>
        <v>43200.62025332261</v>
      </c>
      <c r="S26" s="71">
        <f t="shared" si="13"/>
        <v>37714.14148115064</v>
      </c>
      <c r="T26" s="71">
        <f t="shared" si="13"/>
        <v>32924.445513044506</v>
      </c>
      <c r="U26" s="71">
        <f t="shared" si="13"/>
        <v>28743.040932887852</v>
      </c>
      <c r="V26" s="71">
        <f t="shared" si="13"/>
        <v>25092.674734411095</v>
      </c>
      <c r="W26" s="71">
        <f t="shared" si="13"/>
        <v>21905.905043140887</v>
      </c>
      <c r="X26" s="71">
        <f t="shared" si="13"/>
        <v>19123.855102661993</v>
      </c>
      <c r="Y26" s="71">
        <f t="shared" si="13"/>
        <v>16695.12550462392</v>
      </c>
      <c r="Z26" s="71">
        <f t="shared" si="13"/>
        <v>14574.844565536683</v>
      </c>
      <c r="AA26" s="71">
        <f t="shared" si="13"/>
        <v>12723.839305713524</v>
      </c>
      <c r="AB26" s="71">
        <f t="shared" si="13"/>
        <v>12626.262626262625</v>
      </c>
      <c r="AC26" s="71">
        <f t="shared" si="13"/>
        <v>12626.262626262625</v>
      </c>
      <c r="AD26" s="71">
        <f t="shared" si="13"/>
        <v>12626.262626262625</v>
      </c>
      <c r="AE26" s="71">
        <f t="shared" si="13"/>
        <v>12626.262626262625</v>
      </c>
      <c r="AF26" s="71">
        <f t="shared" si="13"/>
        <v>12626.262626262625</v>
      </c>
      <c r="AG26" s="71">
        <f t="shared" si="13"/>
        <v>12626.262626262625</v>
      </c>
      <c r="AH26" s="71">
        <f t="shared" si="13"/>
        <v>12626.262626262625</v>
      </c>
      <c r="AI26" s="73">
        <f t="shared" si="13"/>
        <v>12626.262626262625</v>
      </c>
    </row>
    <row r="27" spans="3:35" s="54" customFormat="1" ht="13.5">
      <c r="C27" s="70" t="s">
        <v>52</v>
      </c>
      <c r="D27" s="72"/>
      <c r="E27" s="71"/>
      <c r="F27" s="71">
        <f>IF(F$23*F$13&lt;=F$23*F$13*0.05,F$23*F$13*0.05,F$23*F$13)/1000000</f>
        <v>252525.2525252525</v>
      </c>
      <c r="G27" s="71">
        <f>IF(F27*(1-$L$3)&lt;=$F27*0.05,$F27*0.05,F27*(1-$L$3))</f>
        <v>220454.5454545454</v>
      </c>
      <c r="H27" s="71">
        <f aca="true" t="shared" si="14" ref="H27:AI27">IF(G27*(1-$L$3)&lt;=$F27*0.05,$F27*0.05,G27*(1-$L$3))</f>
        <v>192456.81818181815</v>
      </c>
      <c r="I27" s="71">
        <f t="shared" si="14"/>
        <v>168014.80227272725</v>
      </c>
      <c r="J27" s="71">
        <f t="shared" si="14"/>
        <v>146676.9223840909</v>
      </c>
      <c r="K27" s="71">
        <f t="shared" si="14"/>
        <v>128048.95324131135</v>
      </c>
      <c r="L27" s="71">
        <f t="shared" si="14"/>
        <v>111786.7361796648</v>
      </c>
      <c r="M27" s="71">
        <f t="shared" si="14"/>
        <v>97589.82068484738</v>
      </c>
      <c r="N27" s="71">
        <f t="shared" si="14"/>
        <v>85195.91345787176</v>
      </c>
      <c r="O27" s="71">
        <f t="shared" si="14"/>
        <v>74376.03244872205</v>
      </c>
      <c r="P27" s="71">
        <f t="shared" si="14"/>
        <v>64930.27632773435</v>
      </c>
      <c r="Q27" s="71">
        <f t="shared" si="14"/>
        <v>56684.13123411209</v>
      </c>
      <c r="R27" s="71">
        <f t="shared" si="14"/>
        <v>49485.24656737985</v>
      </c>
      <c r="S27" s="71">
        <f t="shared" si="14"/>
        <v>43200.62025332261</v>
      </c>
      <c r="T27" s="71">
        <f t="shared" si="14"/>
        <v>37714.14148115064</v>
      </c>
      <c r="U27" s="71">
        <f t="shared" si="14"/>
        <v>32924.445513044506</v>
      </c>
      <c r="V27" s="71">
        <f t="shared" si="14"/>
        <v>28743.040932887852</v>
      </c>
      <c r="W27" s="71">
        <f t="shared" si="14"/>
        <v>25092.674734411095</v>
      </c>
      <c r="X27" s="71">
        <f t="shared" si="14"/>
        <v>21905.905043140887</v>
      </c>
      <c r="Y27" s="71">
        <f t="shared" si="14"/>
        <v>19123.855102661993</v>
      </c>
      <c r="Z27" s="71">
        <f t="shared" si="14"/>
        <v>16695.12550462392</v>
      </c>
      <c r="AA27" s="71">
        <f t="shared" si="14"/>
        <v>14574.844565536683</v>
      </c>
      <c r="AB27" s="71">
        <f t="shared" si="14"/>
        <v>12723.839305713524</v>
      </c>
      <c r="AC27" s="71">
        <f t="shared" si="14"/>
        <v>12626.262626262625</v>
      </c>
      <c r="AD27" s="71">
        <f t="shared" si="14"/>
        <v>12626.262626262625</v>
      </c>
      <c r="AE27" s="71">
        <f t="shared" si="14"/>
        <v>12626.262626262625</v>
      </c>
      <c r="AF27" s="71">
        <f t="shared" si="14"/>
        <v>12626.262626262625</v>
      </c>
      <c r="AG27" s="71">
        <f t="shared" si="14"/>
        <v>12626.262626262625</v>
      </c>
      <c r="AH27" s="71">
        <f t="shared" si="14"/>
        <v>12626.262626262625</v>
      </c>
      <c r="AI27" s="73">
        <f t="shared" si="14"/>
        <v>12626.262626262625</v>
      </c>
    </row>
    <row r="28" spans="3:35" s="54" customFormat="1" ht="13.5">
      <c r="C28" s="70" t="s">
        <v>53</v>
      </c>
      <c r="D28" s="72"/>
      <c r="E28" s="71"/>
      <c r="F28" s="72"/>
      <c r="G28" s="71">
        <f>IF(G$23*G$13&lt;=G$23*G$13*0.05,G$23*G$13*0.05,G$23*G$13)/1000000</f>
        <v>252525.2525252525</v>
      </c>
      <c r="H28" s="71">
        <f>IF(G28*(1-$L$3)&lt;=$G28*0.05,$G28*0.05,G28*(1-$L$3))</f>
        <v>220454.5454545454</v>
      </c>
      <c r="I28" s="71">
        <f aca="true" t="shared" si="15" ref="I28:AI28">IF(H28*(1-$L$3)&lt;=$G28*0.05,$G28*0.05,H28*(1-$L$3))</f>
        <v>192456.81818181815</v>
      </c>
      <c r="J28" s="71">
        <f t="shared" si="15"/>
        <v>168014.80227272725</v>
      </c>
      <c r="K28" s="71">
        <f t="shared" si="15"/>
        <v>146676.9223840909</v>
      </c>
      <c r="L28" s="71">
        <f t="shared" si="15"/>
        <v>128048.95324131135</v>
      </c>
      <c r="M28" s="71">
        <f t="shared" si="15"/>
        <v>111786.7361796648</v>
      </c>
      <c r="N28" s="71">
        <f t="shared" si="15"/>
        <v>97589.82068484738</v>
      </c>
      <c r="O28" s="71">
        <f t="shared" si="15"/>
        <v>85195.91345787176</v>
      </c>
      <c r="P28" s="71">
        <f t="shared" si="15"/>
        <v>74376.03244872205</v>
      </c>
      <c r="Q28" s="71">
        <f t="shared" si="15"/>
        <v>64930.27632773435</v>
      </c>
      <c r="R28" s="71">
        <f t="shared" si="15"/>
        <v>56684.13123411209</v>
      </c>
      <c r="S28" s="71">
        <f t="shared" si="15"/>
        <v>49485.24656737985</v>
      </c>
      <c r="T28" s="71">
        <f t="shared" si="15"/>
        <v>43200.62025332261</v>
      </c>
      <c r="U28" s="71">
        <f t="shared" si="15"/>
        <v>37714.14148115064</v>
      </c>
      <c r="V28" s="71">
        <f t="shared" si="15"/>
        <v>32924.445513044506</v>
      </c>
      <c r="W28" s="71">
        <f t="shared" si="15"/>
        <v>28743.040932887852</v>
      </c>
      <c r="X28" s="71">
        <f t="shared" si="15"/>
        <v>25092.674734411095</v>
      </c>
      <c r="Y28" s="71">
        <f t="shared" si="15"/>
        <v>21905.905043140887</v>
      </c>
      <c r="Z28" s="71">
        <f t="shared" si="15"/>
        <v>19123.855102661993</v>
      </c>
      <c r="AA28" s="71">
        <f t="shared" si="15"/>
        <v>16695.12550462392</v>
      </c>
      <c r="AB28" s="71">
        <f t="shared" si="15"/>
        <v>14574.844565536683</v>
      </c>
      <c r="AC28" s="71">
        <f t="shared" si="15"/>
        <v>12723.839305713524</v>
      </c>
      <c r="AD28" s="71">
        <f t="shared" si="15"/>
        <v>12626.262626262625</v>
      </c>
      <c r="AE28" s="71">
        <f t="shared" si="15"/>
        <v>12626.262626262625</v>
      </c>
      <c r="AF28" s="71">
        <f t="shared" si="15"/>
        <v>12626.262626262625</v>
      </c>
      <c r="AG28" s="71">
        <f t="shared" si="15"/>
        <v>12626.262626262625</v>
      </c>
      <c r="AH28" s="71">
        <f t="shared" si="15"/>
        <v>12626.262626262625</v>
      </c>
      <c r="AI28" s="73">
        <f t="shared" si="15"/>
        <v>12626.262626262625</v>
      </c>
    </row>
    <row r="29" spans="3:35" s="54" customFormat="1" ht="13.5">
      <c r="C29" s="70" t="s">
        <v>54</v>
      </c>
      <c r="D29" s="72"/>
      <c r="E29" s="71"/>
      <c r="F29" s="72"/>
      <c r="G29" s="72"/>
      <c r="H29" s="71">
        <f>IF(H$23*H$13&lt;=H$23*H$13*0.05,H$23*H$13*0.05,H$23*H$13)/1000000</f>
        <v>252525.25252525246</v>
      </c>
      <c r="I29" s="71">
        <f>IF(H29*(1-$L$3)&lt;=$H29*0.05,$H29*0.05,H29*(1-$L$3))</f>
        <v>220454.5454545454</v>
      </c>
      <c r="J29" s="71">
        <f aca="true" t="shared" si="16" ref="J29:AI29">IF(I29*(1-$L$3)&lt;=$H29*0.05,$H29*0.05,I29*(1-$L$3))</f>
        <v>192456.81818181815</v>
      </c>
      <c r="K29" s="71">
        <f t="shared" si="16"/>
        <v>168014.80227272725</v>
      </c>
      <c r="L29" s="71">
        <f t="shared" si="16"/>
        <v>146676.9223840909</v>
      </c>
      <c r="M29" s="71">
        <f t="shared" si="16"/>
        <v>128048.95324131135</v>
      </c>
      <c r="N29" s="71">
        <f t="shared" si="16"/>
        <v>111786.7361796648</v>
      </c>
      <c r="O29" s="71">
        <f t="shared" si="16"/>
        <v>97589.82068484738</v>
      </c>
      <c r="P29" s="71">
        <f t="shared" si="16"/>
        <v>85195.91345787176</v>
      </c>
      <c r="Q29" s="71">
        <f t="shared" si="16"/>
        <v>74376.03244872205</v>
      </c>
      <c r="R29" s="71">
        <f t="shared" si="16"/>
        <v>64930.27632773435</v>
      </c>
      <c r="S29" s="71">
        <f t="shared" si="16"/>
        <v>56684.13123411209</v>
      </c>
      <c r="T29" s="71">
        <f t="shared" si="16"/>
        <v>49485.24656737985</v>
      </c>
      <c r="U29" s="71">
        <f t="shared" si="16"/>
        <v>43200.62025332261</v>
      </c>
      <c r="V29" s="71">
        <f t="shared" si="16"/>
        <v>37714.14148115064</v>
      </c>
      <c r="W29" s="71">
        <f t="shared" si="16"/>
        <v>32924.445513044506</v>
      </c>
      <c r="X29" s="71">
        <f t="shared" si="16"/>
        <v>28743.040932887852</v>
      </c>
      <c r="Y29" s="71">
        <f t="shared" si="16"/>
        <v>25092.674734411095</v>
      </c>
      <c r="Z29" s="71">
        <f t="shared" si="16"/>
        <v>21905.905043140887</v>
      </c>
      <c r="AA29" s="71">
        <f t="shared" si="16"/>
        <v>19123.855102661993</v>
      </c>
      <c r="AB29" s="71">
        <f t="shared" si="16"/>
        <v>16695.12550462392</v>
      </c>
      <c r="AC29" s="71">
        <f t="shared" si="16"/>
        <v>14574.844565536683</v>
      </c>
      <c r="AD29" s="71">
        <f t="shared" si="16"/>
        <v>12723.839305713524</v>
      </c>
      <c r="AE29" s="71">
        <f t="shared" si="16"/>
        <v>12626.262626262624</v>
      </c>
      <c r="AF29" s="71">
        <f t="shared" si="16"/>
        <v>12626.262626262624</v>
      </c>
      <c r="AG29" s="71">
        <f t="shared" si="16"/>
        <v>12626.262626262624</v>
      </c>
      <c r="AH29" s="71">
        <f t="shared" si="16"/>
        <v>12626.262626262624</v>
      </c>
      <c r="AI29" s="73">
        <f t="shared" si="16"/>
        <v>12626.262626262624</v>
      </c>
    </row>
    <row r="30" spans="3:35" s="54" customFormat="1" ht="13.5">
      <c r="C30" s="70" t="s">
        <v>55</v>
      </c>
      <c r="D30" s="72"/>
      <c r="E30" s="71"/>
      <c r="F30" s="72"/>
      <c r="G30" s="72"/>
      <c r="H30" s="72"/>
      <c r="I30" s="71">
        <f>IF(I$23*I$13&lt;=I$23*I$13*0.05,I$23*I$13*0.05,I$23*I$13)/1000000</f>
        <v>252525.25252525246</v>
      </c>
      <c r="J30" s="71">
        <f>IF(I30*(1-$L$3)&lt;=$I30*0.05,$I30*0.05,I30*(1-$L$3))</f>
        <v>220454.5454545454</v>
      </c>
      <c r="K30" s="71">
        <f aca="true" t="shared" si="17" ref="K30:AI30">IF(J30*(1-$L$3)&lt;=$I30*0.05,$I30*0.05,J30*(1-$L$3))</f>
        <v>192456.81818181815</v>
      </c>
      <c r="L30" s="71">
        <f t="shared" si="17"/>
        <v>168014.80227272725</v>
      </c>
      <c r="M30" s="71">
        <f t="shared" si="17"/>
        <v>146676.9223840909</v>
      </c>
      <c r="N30" s="71">
        <f t="shared" si="17"/>
        <v>128048.95324131135</v>
      </c>
      <c r="O30" s="71">
        <f t="shared" si="17"/>
        <v>111786.7361796648</v>
      </c>
      <c r="P30" s="71">
        <f t="shared" si="17"/>
        <v>97589.82068484738</v>
      </c>
      <c r="Q30" s="71">
        <f t="shared" si="17"/>
        <v>85195.91345787176</v>
      </c>
      <c r="R30" s="71">
        <f t="shared" si="17"/>
        <v>74376.03244872205</v>
      </c>
      <c r="S30" s="71">
        <f t="shared" si="17"/>
        <v>64930.27632773435</v>
      </c>
      <c r="T30" s="71">
        <f t="shared" si="17"/>
        <v>56684.13123411209</v>
      </c>
      <c r="U30" s="71">
        <f t="shared" si="17"/>
        <v>49485.24656737985</v>
      </c>
      <c r="V30" s="71">
        <f t="shared" si="17"/>
        <v>43200.62025332261</v>
      </c>
      <c r="W30" s="71">
        <f t="shared" si="17"/>
        <v>37714.14148115064</v>
      </c>
      <c r="X30" s="71">
        <f t="shared" si="17"/>
        <v>32924.445513044506</v>
      </c>
      <c r="Y30" s="71">
        <f t="shared" si="17"/>
        <v>28743.040932887852</v>
      </c>
      <c r="Z30" s="71">
        <f t="shared" si="17"/>
        <v>25092.674734411095</v>
      </c>
      <c r="AA30" s="71">
        <f t="shared" si="17"/>
        <v>21905.905043140887</v>
      </c>
      <c r="AB30" s="71">
        <f t="shared" si="17"/>
        <v>19123.855102661993</v>
      </c>
      <c r="AC30" s="71">
        <f t="shared" si="17"/>
        <v>16695.12550462392</v>
      </c>
      <c r="AD30" s="71">
        <f t="shared" si="17"/>
        <v>14574.844565536683</v>
      </c>
      <c r="AE30" s="71">
        <f t="shared" si="17"/>
        <v>12723.839305713524</v>
      </c>
      <c r="AF30" s="71">
        <f t="shared" si="17"/>
        <v>12626.262626262624</v>
      </c>
      <c r="AG30" s="71">
        <f t="shared" si="17"/>
        <v>12626.262626262624</v>
      </c>
      <c r="AH30" s="71">
        <f t="shared" si="17"/>
        <v>12626.262626262624</v>
      </c>
      <c r="AI30" s="73">
        <f t="shared" si="17"/>
        <v>12626.262626262624</v>
      </c>
    </row>
    <row r="31" spans="3:35" s="54" customFormat="1" ht="13.5">
      <c r="C31" s="70" t="s">
        <v>56</v>
      </c>
      <c r="D31" s="72"/>
      <c r="E31" s="71"/>
      <c r="F31" s="72"/>
      <c r="G31" s="72"/>
      <c r="H31" s="72"/>
      <c r="I31" s="72"/>
      <c r="J31" s="71">
        <f>IF(J$23*J$13&lt;=J$23*J$13*0.05,J$23*J$13*0.05,J$23*J$13)/1000000</f>
        <v>252525.2525252525</v>
      </c>
      <c r="K31" s="71">
        <f>IF(J31*(1-$L$3)&lt;=$J31*0.05,$J31*0.05,J31*(1-$L$3))</f>
        <v>220454.5454545454</v>
      </c>
      <c r="L31" s="71">
        <f aca="true" t="shared" si="18" ref="L31:AI31">IF(K31*(1-$L$3)&lt;=$J31*0.05,$J31*0.05,K31*(1-$L$3))</f>
        <v>192456.81818181815</v>
      </c>
      <c r="M31" s="71">
        <f t="shared" si="18"/>
        <v>168014.80227272725</v>
      </c>
      <c r="N31" s="71">
        <f t="shared" si="18"/>
        <v>146676.9223840909</v>
      </c>
      <c r="O31" s="71">
        <f t="shared" si="18"/>
        <v>128048.95324131135</v>
      </c>
      <c r="P31" s="71">
        <f t="shared" si="18"/>
        <v>111786.7361796648</v>
      </c>
      <c r="Q31" s="71">
        <f t="shared" si="18"/>
        <v>97589.82068484738</v>
      </c>
      <c r="R31" s="71">
        <f t="shared" si="18"/>
        <v>85195.91345787176</v>
      </c>
      <c r="S31" s="71">
        <f t="shared" si="18"/>
        <v>74376.03244872205</v>
      </c>
      <c r="T31" s="71">
        <f t="shared" si="18"/>
        <v>64930.27632773435</v>
      </c>
      <c r="U31" s="71">
        <f t="shared" si="18"/>
        <v>56684.13123411209</v>
      </c>
      <c r="V31" s="71">
        <f t="shared" si="18"/>
        <v>49485.24656737985</v>
      </c>
      <c r="W31" s="71">
        <f t="shared" si="18"/>
        <v>43200.62025332261</v>
      </c>
      <c r="X31" s="71">
        <f t="shared" si="18"/>
        <v>37714.14148115064</v>
      </c>
      <c r="Y31" s="71">
        <f t="shared" si="18"/>
        <v>32924.445513044506</v>
      </c>
      <c r="Z31" s="71">
        <f t="shared" si="18"/>
        <v>28743.040932887852</v>
      </c>
      <c r="AA31" s="71">
        <f t="shared" si="18"/>
        <v>25092.674734411095</v>
      </c>
      <c r="AB31" s="71">
        <f t="shared" si="18"/>
        <v>21905.905043140887</v>
      </c>
      <c r="AC31" s="71">
        <f t="shared" si="18"/>
        <v>19123.855102661993</v>
      </c>
      <c r="AD31" s="71">
        <f t="shared" si="18"/>
        <v>16695.12550462392</v>
      </c>
      <c r="AE31" s="71">
        <f t="shared" si="18"/>
        <v>14574.844565536683</v>
      </c>
      <c r="AF31" s="71">
        <f t="shared" si="18"/>
        <v>12723.839305713524</v>
      </c>
      <c r="AG31" s="71">
        <f t="shared" si="18"/>
        <v>12626.262626262625</v>
      </c>
      <c r="AH31" s="71">
        <f t="shared" si="18"/>
        <v>12626.262626262625</v>
      </c>
      <c r="AI31" s="73">
        <f t="shared" si="18"/>
        <v>12626.262626262625</v>
      </c>
    </row>
    <row r="32" spans="3:35" s="54" customFormat="1" ht="14.25" thickBot="1">
      <c r="C32" s="89" t="s">
        <v>57</v>
      </c>
      <c r="D32" s="90"/>
      <c r="E32" s="91"/>
      <c r="F32" s="90"/>
      <c r="G32" s="90"/>
      <c r="H32" s="90"/>
      <c r="I32" s="90"/>
      <c r="J32" s="90"/>
      <c r="K32" s="91">
        <f>IF(K$23*K$13&lt;=K$23*K$13*0.05,K$23*K$13*0.05,K$23*K$13)/1000000</f>
        <v>252525.25252525246</v>
      </c>
      <c r="L32" s="91">
        <f>IF(K32*(1-$L$3)&lt;=$K32*0.05,$K32*0.05,K32*(1-$L$3))</f>
        <v>220454.5454545454</v>
      </c>
      <c r="M32" s="91">
        <f aca="true" t="shared" si="19" ref="M32:AI32">IF(L32*(1-$L$3)&lt;=$K32*0.05,$K32*0.05,L32*(1-$L$3))</f>
        <v>192456.81818181815</v>
      </c>
      <c r="N32" s="91">
        <f t="shared" si="19"/>
        <v>168014.80227272725</v>
      </c>
      <c r="O32" s="91">
        <f t="shared" si="19"/>
        <v>146676.9223840909</v>
      </c>
      <c r="P32" s="91">
        <f t="shared" si="19"/>
        <v>128048.95324131135</v>
      </c>
      <c r="Q32" s="91">
        <f t="shared" si="19"/>
        <v>111786.7361796648</v>
      </c>
      <c r="R32" s="91">
        <f t="shared" si="19"/>
        <v>97589.82068484738</v>
      </c>
      <c r="S32" s="91">
        <f t="shared" si="19"/>
        <v>85195.91345787176</v>
      </c>
      <c r="T32" s="91">
        <f t="shared" si="19"/>
        <v>74376.03244872205</v>
      </c>
      <c r="U32" s="91">
        <f t="shared" si="19"/>
        <v>64930.27632773435</v>
      </c>
      <c r="V32" s="91">
        <f t="shared" si="19"/>
        <v>56684.13123411209</v>
      </c>
      <c r="W32" s="91">
        <f t="shared" si="19"/>
        <v>49485.24656737985</v>
      </c>
      <c r="X32" s="91">
        <f t="shared" si="19"/>
        <v>43200.62025332261</v>
      </c>
      <c r="Y32" s="91">
        <f t="shared" si="19"/>
        <v>37714.14148115064</v>
      </c>
      <c r="Z32" s="91">
        <f t="shared" si="19"/>
        <v>32924.445513044506</v>
      </c>
      <c r="AA32" s="91">
        <f t="shared" si="19"/>
        <v>28743.040932887852</v>
      </c>
      <c r="AB32" s="91">
        <f t="shared" si="19"/>
        <v>25092.674734411095</v>
      </c>
      <c r="AC32" s="91">
        <f t="shared" si="19"/>
        <v>21905.905043140887</v>
      </c>
      <c r="AD32" s="91">
        <f t="shared" si="19"/>
        <v>19123.855102661993</v>
      </c>
      <c r="AE32" s="91">
        <f t="shared" si="19"/>
        <v>16695.12550462392</v>
      </c>
      <c r="AF32" s="91">
        <f t="shared" si="19"/>
        <v>14574.844565536683</v>
      </c>
      <c r="AG32" s="91">
        <f t="shared" si="19"/>
        <v>12723.839305713524</v>
      </c>
      <c r="AH32" s="91">
        <f t="shared" si="19"/>
        <v>12626.262626262624</v>
      </c>
      <c r="AI32" s="92">
        <f t="shared" si="19"/>
        <v>12626.262626262624</v>
      </c>
    </row>
    <row r="33" spans="3:35" s="54" customFormat="1" ht="13.5">
      <c r="C33" s="103" t="s">
        <v>41</v>
      </c>
      <c r="D33" s="84"/>
      <c r="E33" s="83"/>
      <c r="F33" s="84"/>
      <c r="G33" s="84"/>
      <c r="H33" s="84"/>
      <c r="I33" s="84"/>
      <c r="J33" s="84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93"/>
    </row>
    <row r="34" spans="3:35" s="54" customFormat="1" ht="13.5">
      <c r="C34" s="70" t="s">
        <v>42</v>
      </c>
      <c r="D34" s="74">
        <f aca="true" t="shared" si="20" ref="D34:AI34">IF(D$22&lt;=2014,D25*$N$3*$M$3,D25*$N$3)</f>
        <v>2356.9023686868686</v>
      </c>
      <c r="E34" s="74">
        <f t="shared" si="20"/>
        <v>2057.575767863636</v>
      </c>
      <c r="F34" s="74">
        <f t="shared" si="20"/>
        <v>1796.2636453449545</v>
      </c>
      <c r="G34" s="74">
        <f t="shared" si="20"/>
        <v>2352.2072318181818</v>
      </c>
      <c r="H34" s="74">
        <f t="shared" si="20"/>
        <v>2053.476913377273</v>
      </c>
      <c r="I34" s="74">
        <f t="shared" si="20"/>
        <v>1792.6853453783592</v>
      </c>
      <c r="J34" s="74">
        <f t="shared" si="20"/>
        <v>1565.0143065153077</v>
      </c>
      <c r="K34" s="74">
        <f t="shared" si="20"/>
        <v>1366.2574895878636</v>
      </c>
      <c r="L34" s="74">
        <f t="shared" si="20"/>
        <v>1192.7427884102049</v>
      </c>
      <c r="M34" s="74">
        <f t="shared" si="20"/>
        <v>1041.264454282109</v>
      </c>
      <c r="N34" s="74">
        <f t="shared" si="20"/>
        <v>909.0238685882811</v>
      </c>
      <c r="O34" s="74">
        <f t="shared" si="20"/>
        <v>793.5778372775694</v>
      </c>
      <c r="P34" s="74">
        <f t="shared" si="20"/>
        <v>692.7934519433181</v>
      </c>
      <c r="Q34" s="74">
        <f t="shared" si="20"/>
        <v>604.8086835465167</v>
      </c>
      <c r="R34" s="74">
        <f t="shared" si="20"/>
        <v>527.9979807361091</v>
      </c>
      <c r="S34" s="74">
        <f t="shared" si="20"/>
        <v>460.9422371826232</v>
      </c>
      <c r="T34" s="74">
        <f t="shared" si="20"/>
        <v>402.40257306043003</v>
      </c>
      <c r="U34" s="74">
        <f t="shared" si="20"/>
        <v>351.29744628175547</v>
      </c>
      <c r="V34" s="74">
        <f t="shared" si="20"/>
        <v>306.6826706039725</v>
      </c>
      <c r="W34" s="74">
        <f t="shared" si="20"/>
        <v>267.733971437268</v>
      </c>
      <c r="X34" s="74">
        <f t="shared" si="20"/>
        <v>233.73175706473498</v>
      </c>
      <c r="Y34" s="74">
        <f t="shared" si="20"/>
        <v>204.04782391751365</v>
      </c>
      <c r="Z34" s="74">
        <f t="shared" si="20"/>
        <v>178.1337502799894</v>
      </c>
      <c r="AA34" s="74">
        <f t="shared" si="20"/>
        <v>176.7676767676768</v>
      </c>
      <c r="AB34" s="74">
        <f t="shared" si="20"/>
        <v>176.7676767676768</v>
      </c>
      <c r="AC34" s="74">
        <f t="shared" si="20"/>
        <v>176.7676767676768</v>
      </c>
      <c r="AD34" s="74">
        <f t="shared" si="20"/>
        <v>176.7676767676768</v>
      </c>
      <c r="AE34" s="74">
        <f t="shared" si="20"/>
        <v>176.7676767676768</v>
      </c>
      <c r="AF34" s="74">
        <f t="shared" si="20"/>
        <v>176.7676767676768</v>
      </c>
      <c r="AG34" s="74">
        <f t="shared" si="20"/>
        <v>176.7676767676768</v>
      </c>
      <c r="AH34" s="74">
        <f t="shared" si="20"/>
        <v>176.7676767676768</v>
      </c>
      <c r="AI34" s="75">
        <f t="shared" si="20"/>
        <v>176.7676767676768</v>
      </c>
    </row>
    <row r="35" spans="3:35" s="54" customFormat="1" ht="13.5">
      <c r="C35" s="70" t="s">
        <v>43</v>
      </c>
      <c r="D35" s="72"/>
      <c r="E35" s="74">
        <f>IF(E$22&lt;=2015,E26*$N$3*$M$3,E26*$N$3)</f>
        <v>2356.9023686868686</v>
      </c>
      <c r="F35" s="74">
        <f aca="true" t="shared" si="21" ref="F35:AI35">IF(F$22&lt;=2014,F26*$N$3*$M$3,F26*$N$3)</f>
        <v>2057.575767863636</v>
      </c>
      <c r="G35" s="74">
        <f t="shared" si="21"/>
        <v>2694.395454545454</v>
      </c>
      <c r="H35" s="74">
        <f t="shared" si="21"/>
        <v>2352.2072318181813</v>
      </c>
      <c r="I35" s="74">
        <f t="shared" si="21"/>
        <v>2053.4769133772725</v>
      </c>
      <c r="J35" s="74">
        <f t="shared" si="21"/>
        <v>1792.685345378359</v>
      </c>
      <c r="K35" s="74">
        <f t="shared" si="21"/>
        <v>1565.0143065153072</v>
      </c>
      <c r="L35" s="74">
        <f t="shared" si="21"/>
        <v>1366.2574895878633</v>
      </c>
      <c r="M35" s="74">
        <f t="shared" si="21"/>
        <v>1192.7427884102046</v>
      </c>
      <c r="N35" s="74">
        <f t="shared" si="21"/>
        <v>1041.2644542821088</v>
      </c>
      <c r="O35" s="74">
        <f t="shared" si="21"/>
        <v>909.0238685882808</v>
      </c>
      <c r="P35" s="74">
        <f t="shared" si="21"/>
        <v>793.5778372775692</v>
      </c>
      <c r="Q35" s="74">
        <f t="shared" si="21"/>
        <v>692.7934519433179</v>
      </c>
      <c r="R35" s="74">
        <f t="shared" si="21"/>
        <v>604.8086835465166</v>
      </c>
      <c r="S35" s="74">
        <f t="shared" si="21"/>
        <v>527.997980736109</v>
      </c>
      <c r="T35" s="74">
        <f t="shared" si="21"/>
        <v>460.9422371826231</v>
      </c>
      <c r="U35" s="74">
        <f t="shared" si="21"/>
        <v>402.4025730604299</v>
      </c>
      <c r="V35" s="74">
        <f t="shared" si="21"/>
        <v>351.29744628175536</v>
      </c>
      <c r="W35" s="74">
        <f t="shared" si="21"/>
        <v>306.68267060397244</v>
      </c>
      <c r="X35" s="74">
        <f t="shared" si="21"/>
        <v>267.73397143726794</v>
      </c>
      <c r="Y35" s="74">
        <f t="shared" si="21"/>
        <v>233.7317570647349</v>
      </c>
      <c r="Z35" s="74">
        <f t="shared" si="21"/>
        <v>204.04782391751357</v>
      </c>
      <c r="AA35" s="74">
        <f t="shared" si="21"/>
        <v>178.13375027998933</v>
      </c>
      <c r="AB35" s="74">
        <f t="shared" si="21"/>
        <v>176.76767676767676</v>
      </c>
      <c r="AC35" s="74">
        <f t="shared" si="21"/>
        <v>176.76767676767676</v>
      </c>
      <c r="AD35" s="74">
        <f t="shared" si="21"/>
        <v>176.76767676767676</v>
      </c>
      <c r="AE35" s="74">
        <f t="shared" si="21"/>
        <v>176.76767676767676</v>
      </c>
      <c r="AF35" s="74">
        <f t="shared" si="21"/>
        <v>176.76767676767676</v>
      </c>
      <c r="AG35" s="74">
        <f t="shared" si="21"/>
        <v>176.76767676767676</v>
      </c>
      <c r="AH35" s="74">
        <f t="shared" si="21"/>
        <v>176.76767676767676</v>
      </c>
      <c r="AI35" s="75">
        <f t="shared" si="21"/>
        <v>176.76767676767676</v>
      </c>
    </row>
    <row r="36" spans="3:35" s="54" customFormat="1" ht="13.5">
      <c r="C36" s="70" t="s">
        <v>44</v>
      </c>
      <c r="D36" s="72"/>
      <c r="E36" s="71"/>
      <c r="F36" s="74">
        <f aca="true" t="shared" si="22" ref="F36:AI36">IF(F$22&lt;=2016,F27*$N$3*$M$3,F27*$N$3)</f>
        <v>2356.9023686868686</v>
      </c>
      <c r="G36" s="74">
        <f t="shared" si="22"/>
        <v>2057.575767863636</v>
      </c>
      <c r="H36" s="74">
        <f t="shared" si="22"/>
        <v>1796.2636453449543</v>
      </c>
      <c r="I36" s="74">
        <f t="shared" si="22"/>
        <v>2352.2072318181813</v>
      </c>
      <c r="J36" s="74">
        <f t="shared" si="22"/>
        <v>2053.4769133772725</v>
      </c>
      <c r="K36" s="74">
        <f t="shared" si="22"/>
        <v>1792.685345378359</v>
      </c>
      <c r="L36" s="74">
        <f t="shared" si="22"/>
        <v>1565.0143065153072</v>
      </c>
      <c r="M36" s="74">
        <f t="shared" si="22"/>
        <v>1366.2574895878633</v>
      </c>
      <c r="N36" s="74">
        <f t="shared" si="22"/>
        <v>1192.7427884102046</v>
      </c>
      <c r="O36" s="74">
        <f t="shared" si="22"/>
        <v>1041.2644542821088</v>
      </c>
      <c r="P36" s="74">
        <f t="shared" si="22"/>
        <v>909.0238685882808</v>
      </c>
      <c r="Q36" s="74">
        <f t="shared" si="22"/>
        <v>793.5778372775692</v>
      </c>
      <c r="R36" s="74">
        <f t="shared" si="22"/>
        <v>692.7934519433179</v>
      </c>
      <c r="S36" s="74">
        <f t="shared" si="22"/>
        <v>604.8086835465166</v>
      </c>
      <c r="T36" s="74">
        <f t="shared" si="22"/>
        <v>527.997980736109</v>
      </c>
      <c r="U36" s="74">
        <f t="shared" si="22"/>
        <v>460.9422371826231</v>
      </c>
      <c r="V36" s="74">
        <f t="shared" si="22"/>
        <v>402.4025730604299</v>
      </c>
      <c r="W36" s="74">
        <f t="shared" si="22"/>
        <v>351.29744628175536</v>
      </c>
      <c r="X36" s="74">
        <f t="shared" si="22"/>
        <v>306.68267060397244</v>
      </c>
      <c r="Y36" s="74">
        <f t="shared" si="22"/>
        <v>267.73397143726794</v>
      </c>
      <c r="Z36" s="74">
        <f t="shared" si="22"/>
        <v>233.7317570647349</v>
      </c>
      <c r="AA36" s="74">
        <f t="shared" si="22"/>
        <v>204.04782391751357</v>
      </c>
      <c r="AB36" s="74">
        <f t="shared" si="22"/>
        <v>178.13375027998933</v>
      </c>
      <c r="AC36" s="74">
        <f t="shared" si="22"/>
        <v>176.76767676767676</v>
      </c>
      <c r="AD36" s="74">
        <f t="shared" si="22"/>
        <v>176.76767676767676</v>
      </c>
      <c r="AE36" s="74">
        <f t="shared" si="22"/>
        <v>176.76767676767676</v>
      </c>
      <c r="AF36" s="74">
        <f t="shared" si="22"/>
        <v>176.76767676767676</v>
      </c>
      <c r="AG36" s="74">
        <f t="shared" si="22"/>
        <v>176.76767676767676</v>
      </c>
      <c r="AH36" s="74">
        <f t="shared" si="22"/>
        <v>176.76767676767676</v>
      </c>
      <c r="AI36" s="75">
        <f t="shared" si="22"/>
        <v>176.76767676767676</v>
      </c>
    </row>
    <row r="37" spans="3:35" s="54" customFormat="1" ht="13.5">
      <c r="C37" s="70" t="s">
        <v>45</v>
      </c>
      <c r="D37" s="72"/>
      <c r="E37" s="71"/>
      <c r="F37" s="72"/>
      <c r="G37" s="74">
        <f aca="true" t="shared" si="23" ref="G37:AI37">IF(G$22&lt;=2017,G28*$N$3*$M$3,G28*$N$3)</f>
        <v>2356.9023686868686</v>
      </c>
      <c r="H37" s="74">
        <f t="shared" si="23"/>
        <v>2057.575767863636</v>
      </c>
      <c r="I37" s="74">
        <f t="shared" si="23"/>
        <v>1796.2636453449543</v>
      </c>
      <c r="J37" s="74">
        <f t="shared" si="23"/>
        <v>2352.2072318181813</v>
      </c>
      <c r="K37" s="74">
        <f t="shared" si="23"/>
        <v>2053.4769133772725</v>
      </c>
      <c r="L37" s="74">
        <f t="shared" si="23"/>
        <v>1792.685345378359</v>
      </c>
      <c r="M37" s="74">
        <f t="shared" si="23"/>
        <v>1565.0143065153072</v>
      </c>
      <c r="N37" s="74">
        <f t="shared" si="23"/>
        <v>1366.2574895878633</v>
      </c>
      <c r="O37" s="74">
        <f t="shared" si="23"/>
        <v>1192.7427884102046</v>
      </c>
      <c r="P37" s="74">
        <f t="shared" si="23"/>
        <v>1041.2644542821088</v>
      </c>
      <c r="Q37" s="74">
        <f t="shared" si="23"/>
        <v>909.0238685882808</v>
      </c>
      <c r="R37" s="74">
        <f t="shared" si="23"/>
        <v>793.5778372775692</v>
      </c>
      <c r="S37" s="74">
        <f t="shared" si="23"/>
        <v>692.7934519433179</v>
      </c>
      <c r="T37" s="74">
        <f t="shared" si="23"/>
        <v>604.8086835465166</v>
      </c>
      <c r="U37" s="74">
        <f t="shared" si="23"/>
        <v>527.997980736109</v>
      </c>
      <c r="V37" s="74">
        <f t="shared" si="23"/>
        <v>460.9422371826231</v>
      </c>
      <c r="W37" s="74">
        <f t="shared" si="23"/>
        <v>402.4025730604299</v>
      </c>
      <c r="X37" s="74">
        <f t="shared" si="23"/>
        <v>351.29744628175536</v>
      </c>
      <c r="Y37" s="74">
        <f t="shared" si="23"/>
        <v>306.68267060397244</v>
      </c>
      <c r="Z37" s="74">
        <f t="shared" si="23"/>
        <v>267.73397143726794</v>
      </c>
      <c r="AA37" s="74">
        <f t="shared" si="23"/>
        <v>233.7317570647349</v>
      </c>
      <c r="AB37" s="74">
        <f t="shared" si="23"/>
        <v>204.04782391751357</v>
      </c>
      <c r="AC37" s="74">
        <f t="shared" si="23"/>
        <v>178.13375027998933</v>
      </c>
      <c r="AD37" s="74">
        <f t="shared" si="23"/>
        <v>176.76767676767676</v>
      </c>
      <c r="AE37" s="74">
        <f t="shared" si="23"/>
        <v>176.76767676767676</v>
      </c>
      <c r="AF37" s="74">
        <f t="shared" si="23"/>
        <v>176.76767676767676</v>
      </c>
      <c r="AG37" s="74">
        <f t="shared" si="23"/>
        <v>176.76767676767676</v>
      </c>
      <c r="AH37" s="74">
        <f t="shared" si="23"/>
        <v>176.76767676767676</v>
      </c>
      <c r="AI37" s="75">
        <f t="shared" si="23"/>
        <v>176.76767676767676</v>
      </c>
    </row>
    <row r="38" spans="3:35" s="54" customFormat="1" ht="13.5">
      <c r="C38" s="70" t="s">
        <v>46</v>
      </c>
      <c r="D38" s="72"/>
      <c r="E38" s="71"/>
      <c r="F38" s="72"/>
      <c r="G38" s="72"/>
      <c r="H38" s="74">
        <f aca="true" t="shared" si="24" ref="H38:AI38">IF(H$22&lt;=2018,H29*$N$3*$M$3,H29*$N$3)</f>
        <v>2356.902368686868</v>
      </c>
      <c r="I38" s="74">
        <f t="shared" si="24"/>
        <v>2057.575767863636</v>
      </c>
      <c r="J38" s="74">
        <f t="shared" si="24"/>
        <v>1796.2636453449543</v>
      </c>
      <c r="K38" s="74">
        <f t="shared" si="24"/>
        <v>2352.2072318181813</v>
      </c>
      <c r="L38" s="74">
        <f t="shared" si="24"/>
        <v>2053.4769133772725</v>
      </c>
      <c r="M38" s="74">
        <f t="shared" si="24"/>
        <v>1792.685345378359</v>
      </c>
      <c r="N38" s="74">
        <f t="shared" si="24"/>
        <v>1565.0143065153072</v>
      </c>
      <c r="O38" s="74">
        <f t="shared" si="24"/>
        <v>1366.2574895878633</v>
      </c>
      <c r="P38" s="74">
        <f t="shared" si="24"/>
        <v>1192.7427884102046</v>
      </c>
      <c r="Q38" s="74">
        <f t="shared" si="24"/>
        <v>1041.2644542821088</v>
      </c>
      <c r="R38" s="74">
        <f t="shared" si="24"/>
        <v>909.0238685882808</v>
      </c>
      <c r="S38" s="74">
        <f t="shared" si="24"/>
        <v>793.5778372775692</v>
      </c>
      <c r="T38" s="74">
        <f t="shared" si="24"/>
        <v>692.7934519433179</v>
      </c>
      <c r="U38" s="74">
        <f t="shared" si="24"/>
        <v>604.8086835465166</v>
      </c>
      <c r="V38" s="74">
        <f t="shared" si="24"/>
        <v>527.997980736109</v>
      </c>
      <c r="W38" s="74">
        <f t="shared" si="24"/>
        <v>460.9422371826231</v>
      </c>
      <c r="X38" s="74">
        <f t="shared" si="24"/>
        <v>402.4025730604299</v>
      </c>
      <c r="Y38" s="74">
        <f t="shared" si="24"/>
        <v>351.29744628175536</v>
      </c>
      <c r="Z38" s="74">
        <f t="shared" si="24"/>
        <v>306.68267060397244</v>
      </c>
      <c r="AA38" s="74">
        <f t="shared" si="24"/>
        <v>267.73397143726794</v>
      </c>
      <c r="AB38" s="74">
        <f t="shared" si="24"/>
        <v>233.7317570647349</v>
      </c>
      <c r="AC38" s="74">
        <f t="shared" si="24"/>
        <v>204.04782391751357</v>
      </c>
      <c r="AD38" s="74">
        <f t="shared" si="24"/>
        <v>178.13375027998933</v>
      </c>
      <c r="AE38" s="74">
        <f t="shared" si="24"/>
        <v>176.76767676767673</v>
      </c>
      <c r="AF38" s="74">
        <f t="shared" si="24"/>
        <v>176.76767676767673</v>
      </c>
      <c r="AG38" s="74">
        <f t="shared" si="24"/>
        <v>176.76767676767673</v>
      </c>
      <c r="AH38" s="74">
        <f t="shared" si="24"/>
        <v>176.76767676767673</v>
      </c>
      <c r="AI38" s="75">
        <f t="shared" si="24"/>
        <v>176.76767676767673</v>
      </c>
    </row>
    <row r="39" spans="3:35" s="54" customFormat="1" ht="17.25" customHeight="1">
      <c r="C39" s="70" t="s">
        <v>47</v>
      </c>
      <c r="D39" s="72"/>
      <c r="E39" s="72"/>
      <c r="F39" s="72"/>
      <c r="G39" s="72"/>
      <c r="H39" s="72"/>
      <c r="I39" s="74">
        <f aca="true" t="shared" si="25" ref="I39:AI39">IF(I$22&lt;=2019,I30*$N$3*$M$3,I30*$N$3)</f>
        <v>2356.902368686868</v>
      </c>
      <c r="J39" s="74">
        <f t="shared" si="25"/>
        <v>2057.575767863636</v>
      </c>
      <c r="K39" s="74">
        <f t="shared" si="25"/>
        <v>1796.2636453449543</v>
      </c>
      <c r="L39" s="74">
        <f t="shared" si="25"/>
        <v>2352.2072318181813</v>
      </c>
      <c r="M39" s="74">
        <f t="shared" si="25"/>
        <v>2053.4769133772725</v>
      </c>
      <c r="N39" s="74">
        <f t="shared" si="25"/>
        <v>1792.685345378359</v>
      </c>
      <c r="O39" s="74">
        <f t="shared" si="25"/>
        <v>1565.0143065153072</v>
      </c>
      <c r="P39" s="74">
        <f t="shared" si="25"/>
        <v>1366.2574895878633</v>
      </c>
      <c r="Q39" s="74">
        <f t="shared" si="25"/>
        <v>1192.7427884102046</v>
      </c>
      <c r="R39" s="74">
        <f t="shared" si="25"/>
        <v>1041.2644542821088</v>
      </c>
      <c r="S39" s="74">
        <f t="shared" si="25"/>
        <v>909.0238685882808</v>
      </c>
      <c r="T39" s="74">
        <f t="shared" si="25"/>
        <v>793.5778372775692</v>
      </c>
      <c r="U39" s="74">
        <f t="shared" si="25"/>
        <v>692.7934519433179</v>
      </c>
      <c r="V39" s="74">
        <f t="shared" si="25"/>
        <v>604.8086835465166</v>
      </c>
      <c r="W39" s="74">
        <f t="shared" si="25"/>
        <v>527.997980736109</v>
      </c>
      <c r="X39" s="74">
        <f t="shared" si="25"/>
        <v>460.9422371826231</v>
      </c>
      <c r="Y39" s="74">
        <f t="shared" si="25"/>
        <v>402.4025730604299</v>
      </c>
      <c r="Z39" s="74">
        <f t="shared" si="25"/>
        <v>351.29744628175536</v>
      </c>
      <c r="AA39" s="74">
        <f t="shared" si="25"/>
        <v>306.68267060397244</v>
      </c>
      <c r="AB39" s="74">
        <f t="shared" si="25"/>
        <v>267.73397143726794</v>
      </c>
      <c r="AC39" s="74">
        <f t="shared" si="25"/>
        <v>233.7317570647349</v>
      </c>
      <c r="AD39" s="74">
        <f t="shared" si="25"/>
        <v>204.04782391751357</v>
      </c>
      <c r="AE39" s="74">
        <f t="shared" si="25"/>
        <v>178.13375027998933</v>
      </c>
      <c r="AF39" s="74">
        <f t="shared" si="25"/>
        <v>176.76767676767673</v>
      </c>
      <c r="AG39" s="74">
        <f t="shared" si="25"/>
        <v>176.76767676767673</v>
      </c>
      <c r="AH39" s="74">
        <f t="shared" si="25"/>
        <v>176.76767676767673</v>
      </c>
      <c r="AI39" s="75">
        <f t="shared" si="25"/>
        <v>176.76767676767673</v>
      </c>
    </row>
    <row r="40" spans="3:35" s="54" customFormat="1" ht="13.5">
      <c r="C40" s="70" t="s">
        <v>48</v>
      </c>
      <c r="D40" s="72"/>
      <c r="E40" s="72"/>
      <c r="F40" s="72"/>
      <c r="G40" s="72"/>
      <c r="H40" s="72"/>
      <c r="I40" s="72"/>
      <c r="J40" s="74">
        <f aca="true" t="shared" si="26" ref="J40:AI40">IF(J$22&lt;=2020,J31*$N$3*$M$3,J31*$N$3)</f>
        <v>2356.9023686868686</v>
      </c>
      <c r="K40" s="74">
        <f t="shared" si="26"/>
        <v>2057.575767863636</v>
      </c>
      <c r="L40" s="74">
        <f t="shared" si="26"/>
        <v>1796.2636453449543</v>
      </c>
      <c r="M40" s="74">
        <f t="shared" si="26"/>
        <v>2352.2072318181813</v>
      </c>
      <c r="N40" s="74">
        <f t="shared" si="26"/>
        <v>2053.4769133772725</v>
      </c>
      <c r="O40" s="74">
        <f t="shared" si="26"/>
        <v>1792.685345378359</v>
      </c>
      <c r="P40" s="74">
        <f t="shared" si="26"/>
        <v>1565.0143065153072</v>
      </c>
      <c r="Q40" s="74">
        <f t="shared" si="26"/>
        <v>1366.2574895878633</v>
      </c>
      <c r="R40" s="74">
        <f t="shared" si="26"/>
        <v>1192.7427884102046</v>
      </c>
      <c r="S40" s="74">
        <f t="shared" si="26"/>
        <v>1041.2644542821088</v>
      </c>
      <c r="T40" s="74">
        <f t="shared" si="26"/>
        <v>909.0238685882808</v>
      </c>
      <c r="U40" s="74">
        <f t="shared" si="26"/>
        <v>793.5778372775692</v>
      </c>
      <c r="V40" s="74">
        <f t="shared" si="26"/>
        <v>692.7934519433179</v>
      </c>
      <c r="W40" s="74">
        <f t="shared" si="26"/>
        <v>604.8086835465166</v>
      </c>
      <c r="X40" s="74">
        <f t="shared" si="26"/>
        <v>527.997980736109</v>
      </c>
      <c r="Y40" s="74">
        <f t="shared" si="26"/>
        <v>460.9422371826231</v>
      </c>
      <c r="Z40" s="74">
        <f t="shared" si="26"/>
        <v>402.4025730604299</v>
      </c>
      <c r="AA40" s="74">
        <f t="shared" si="26"/>
        <v>351.29744628175536</v>
      </c>
      <c r="AB40" s="74">
        <f t="shared" si="26"/>
        <v>306.68267060397244</v>
      </c>
      <c r="AC40" s="74">
        <f t="shared" si="26"/>
        <v>267.73397143726794</v>
      </c>
      <c r="AD40" s="74">
        <f t="shared" si="26"/>
        <v>233.7317570647349</v>
      </c>
      <c r="AE40" s="74">
        <f t="shared" si="26"/>
        <v>204.04782391751357</v>
      </c>
      <c r="AF40" s="74">
        <f t="shared" si="26"/>
        <v>178.13375027998933</v>
      </c>
      <c r="AG40" s="74">
        <f t="shared" si="26"/>
        <v>176.76767676767676</v>
      </c>
      <c r="AH40" s="74">
        <f t="shared" si="26"/>
        <v>176.76767676767676</v>
      </c>
      <c r="AI40" s="75">
        <f t="shared" si="26"/>
        <v>176.76767676767676</v>
      </c>
    </row>
    <row r="41" spans="3:35" ht="14.25" thickBot="1">
      <c r="C41" s="89" t="s">
        <v>49</v>
      </c>
      <c r="D41" s="94"/>
      <c r="E41" s="94"/>
      <c r="F41" s="94"/>
      <c r="G41" s="94"/>
      <c r="H41" s="94"/>
      <c r="I41" s="94"/>
      <c r="J41" s="94"/>
      <c r="K41" s="95">
        <f aca="true" t="shared" si="27" ref="K41:AI41">IF(K$22&lt;=2021,K32*$N$3*$M$3,K32*$N$3)</f>
        <v>2356.902368686868</v>
      </c>
      <c r="L41" s="95">
        <f t="shared" si="27"/>
        <v>2057.575767863636</v>
      </c>
      <c r="M41" s="95">
        <f t="shared" si="27"/>
        <v>1796.2636453449543</v>
      </c>
      <c r="N41" s="95">
        <f t="shared" si="27"/>
        <v>2352.2072318181813</v>
      </c>
      <c r="O41" s="95">
        <f t="shared" si="27"/>
        <v>2053.4769133772725</v>
      </c>
      <c r="P41" s="95">
        <f t="shared" si="27"/>
        <v>1792.685345378359</v>
      </c>
      <c r="Q41" s="95">
        <f t="shared" si="27"/>
        <v>1565.0143065153072</v>
      </c>
      <c r="R41" s="95">
        <f t="shared" si="27"/>
        <v>1366.2574895878633</v>
      </c>
      <c r="S41" s="95">
        <f t="shared" si="27"/>
        <v>1192.7427884102046</v>
      </c>
      <c r="T41" s="95">
        <f t="shared" si="27"/>
        <v>1041.2644542821088</v>
      </c>
      <c r="U41" s="95">
        <f t="shared" si="27"/>
        <v>909.0238685882808</v>
      </c>
      <c r="V41" s="95">
        <f t="shared" si="27"/>
        <v>793.5778372775692</v>
      </c>
      <c r="W41" s="95">
        <f t="shared" si="27"/>
        <v>692.7934519433179</v>
      </c>
      <c r="X41" s="95">
        <f t="shared" si="27"/>
        <v>604.8086835465166</v>
      </c>
      <c r="Y41" s="95">
        <f t="shared" si="27"/>
        <v>527.997980736109</v>
      </c>
      <c r="Z41" s="95">
        <f t="shared" si="27"/>
        <v>460.9422371826231</v>
      </c>
      <c r="AA41" s="95">
        <f t="shared" si="27"/>
        <v>402.4025730604299</v>
      </c>
      <c r="AB41" s="95">
        <f t="shared" si="27"/>
        <v>351.29744628175536</v>
      </c>
      <c r="AC41" s="95">
        <f t="shared" si="27"/>
        <v>306.68267060397244</v>
      </c>
      <c r="AD41" s="95">
        <f t="shared" si="27"/>
        <v>267.73397143726794</v>
      </c>
      <c r="AE41" s="95">
        <f t="shared" si="27"/>
        <v>233.7317570647349</v>
      </c>
      <c r="AF41" s="95">
        <f t="shared" si="27"/>
        <v>204.04782391751357</v>
      </c>
      <c r="AG41" s="95">
        <f t="shared" si="27"/>
        <v>178.13375027998933</v>
      </c>
      <c r="AH41" s="95">
        <f t="shared" si="27"/>
        <v>176.76767676767673</v>
      </c>
      <c r="AI41" s="96">
        <f t="shared" si="27"/>
        <v>176.76767676767673</v>
      </c>
    </row>
    <row r="42" spans="3:35" ht="18.75" customHeight="1" thickBot="1">
      <c r="C42" s="98" t="s">
        <v>62</v>
      </c>
      <c r="D42" s="99">
        <f>SUM(D34:D41)</f>
        <v>2356.9023686868686</v>
      </c>
      <c r="E42" s="99">
        <f aca="true" t="shared" si="28" ref="E42:AI42">SUM(E34:E41)</f>
        <v>4414.478136550504</v>
      </c>
      <c r="F42" s="99">
        <f t="shared" si="28"/>
        <v>6210.741781895459</v>
      </c>
      <c r="G42" s="99">
        <f t="shared" si="28"/>
        <v>9461.08082291414</v>
      </c>
      <c r="H42" s="99">
        <f t="shared" si="28"/>
        <v>10616.425927090912</v>
      </c>
      <c r="I42" s="99">
        <f t="shared" si="28"/>
        <v>12409.11127246927</v>
      </c>
      <c r="J42" s="99">
        <f t="shared" si="28"/>
        <v>13974.125578984578</v>
      </c>
      <c r="K42" s="99">
        <f t="shared" si="28"/>
        <v>15340.383068572442</v>
      </c>
      <c r="L42" s="99">
        <f t="shared" si="28"/>
        <v>14176.223488295778</v>
      </c>
      <c r="M42" s="99">
        <f t="shared" si="28"/>
        <v>13159.91217471425</v>
      </c>
      <c r="N42" s="99">
        <f t="shared" si="28"/>
        <v>12272.672397957578</v>
      </c>
      <c r="O42" s="99">
        <f t="shared" si="28"/>
        <v>10714.043003416966</v>
      </c>
      <c r="P42" s="99">
        <f t="shared" si="28"/>
        <v>9353.35954198301</v>
      </c>
      <c r="Q42" s="99">
        <f t="shared" si="28"/>
        <v>8165.4828801511685</v>
      </c>
      <c r="R42" s="99">
        <f t="shared" si="28"/>
        <v>7128.46655437197</v>
      </c>
      <c r="S42" s="99">
        <f t="shared" si="28"/>
        <v>6223.15130196673</v>
      </c>
      <c r="T42" s="99">
        <f t="shared" si="28"/>
        <v>5432.811086616955</v>
      </c>
      <c r="U42" s="99">
        <f t="shared" si="28"/>
        <v>4742.844078616602</v>
      </c>
      <c r="V42" s="99">
        <f t="shared" si="28"/>
        <v>4140.502880632293</v>
      </c>
      <c r="W42" s="99">
        <f t="shared" si="28"/>
        <v>3614.659014791992</v>
      </c>
      <c r="X42" s="99">
        <f t="shared" si="28"/>
        <v>3155.597319913409</v>
      </c>
      <c r="Y42" s="99">
        <f t="shared" si="28"/>
        <v>2754.836460284406</v>
      </c>
      <c r="Z42" s="99">
        <f t="shared" si="28"/>
        <v>2404.972229828287</v>
      </c>
      <c r="AA42" s="99">
        <f t="shared" si="28"/>
        <v>2120.7976694133404</v>
      </c>
      <c r="AB42" s="99">
        <f t="shared" si="28"/>
        <v>1895.162773120587</v>
      </c>
      <c r="AC42" s="99">
        <f t="shared" si="28"/>
        <v>1720.6330036065085</v>
      </c>
      <c r="AD42" s="99">
        <f t="shared" si="28"/>
        <v>1590.7180097702128</v>
      </c>
      <c r="AE42" s="99">
        <f t="shared" si="28"/>
        <v>1499.7517151006216</v>
      </c>
      <c r="AF42" s="99">
        <f t="shared" si="28"/>
        <v>1442.7876348035634</v>
      </c>
      <c r="AG42" s="99">
        <f t="shared" si="28"/>
        <v>1415.5074876537265</v>
      </c>
      <c r="AH42" s="99">
        <f t="shared" si="28"/>
        <v>1414.1414141414139</v>
      </c>
      <c r="AI42" s="100">
        <f t="shared" si="28"/>
        <v>1414.1414141414139</v>
      </c>
    </row>
    <row r="43" spans="3:29" ht="15" thickBot="1" thickTop="1">
      <c r="C43" s="54"/>
      <c r="AC43" s="55">
        <f>SUM(D42:AB42)</f>
        <v>186238.74381323945</v>
      </c>
    </row>
    <row r="44" spans="3:16" ht="14.25" thickTop="1">
      <c r="C44" s="107" t="s">
        <v>63</v>
      </c>
      <c r="D44" s="40">
        <v>1</v>
      </c>
      <c r="E44" s="40">
        <v>2</v>
      </c>
      <c r="F44" s="40">
        <v>3</v>
      </c>
      <c r="G44" s="40">
        <v>4</v>
      </c>
      <c r="H44" s="40">
        <v>5</v>
      </c>
      <c r="I44" s="40">
        <v>6</v>
      </c>
      <c r="J44" s="40">
        <v>7</v>
      </c>
      <c r="K44" s="40">
        <v>8</v>
      </c>
      <c r="L44" s="40">
        <v>9</v>
      </c>
      <c r="M44" s="40">
        <v>10</v>
      </c>
      <c r="N44" s="40">
        <v>11</v>
      </c>
      <c r="O44" s="40">
        <v>12</v>
      </c>
      <c r="P44" s="41"/>
    </row>
    <row r="45" spans="3:16" ht="27">
      <c r="C45" s="108"/>
      <c r="D45" s="43" t="s">
        <v>4</v>
      </c>
      <c r="E45" s="43" t="s">
        <v>5</v>
      </c>
      <c r="F45" s="43" t="s">
        <v>6</v>
      </c>
      <c r="G45" s="43" t="s">
        <v>7</v>
      </c>
      <c r="H45" s="43" t="s">
        <v>8</v>
      </c>
      <c r="I45" s="44" t="s">
        <v>10</v>
      </c>
      <c r="J45" s="43" t="s">
        <v>11</v>
      </c>
      <c r="K45" s="43" t="s">
        <v>12</v>
      </c>
      <c r="L45" s="43" t="s">
        <v>9</v>
      </c>
      <c r="M45" s="43" t="s">
        <v>13</v>
      </c>
      <c r="N45" s="44" t="s">
        <v>17</v>
      </c>
      <c r="O45" s="44" t="s">
        <v>14</v>
      </c>
      <c r="P45" s="45" t="s">
        <v>15</v>
      </c>
    </row>
    <row r="46" spans="3:16" ht="13.5">
      <c r="C46" s="42" t="s">
        <v>16</v>
      </c>
      <c r="D46" s="43">
        <v>51.4</v>
      </c>
      <c r="E46" s="43">
        <v>78.7</v>
      </c>
      <c r="F46" s="43">
        <v>223.1</v>
      </c>
      <c r="G46" s="43">
        <v>68.47</v>
      </c>
      <c r="H46" s="43">
        <v>103.45</v>
      </c>
      <c r="I46" s="46">
        <f>458.3/3</f>
        <v>152.76666666666668</v>
      </c>
      <c r="J46" s="43">
        <v>230.13</v>
      </c>
      <c r="K46" s="43">
        <v>84.23</v>
      </c>
      <c r="L46" s="43">
        <v>197.38</v>
      </c>
      <c r="M46" s="43">
        <v>58.39</v>
      </c>
      <c r="N46" s="43">
        <f>458.3*0.33</f>
        <v>151.239</v>
      </c>
      <c r="O46" s="43">
        <f>127.66*0.2</f>
        <v>25.532</v>
      </c>
      <c r="P46" s="47">
        <f>SUM(D46:O46)</f>
        <v>1424.7876666666666</v>
      </c>
    </row>
    <row r="47" spans="3:16" ht="13.5">
      <c r="C47" s="42" t="s">
        <v>18</v>
      </c>
      <c r="D47" s="48">
        <v>6932</v>
      </c>
      <c r="E47" s="48">
        <v>11511</v>
      </c>
      <c r="F47" s="48">
        <v>20908</v>
      </c>
      <c r="G47" s="48">
        <v>15839</v>
      </c>
      <c r="H47" s="48">
        <v>7701</v>
      </c>
      <c r="I47" s="43">
        <v>70834</v>
      </c>
      <c r="J47" s="43">
        <v>6152</v>
      </c>
      <c r="K47" s="43">
        <v>1565</v>
      </c>
      <c r="L47" s="48">
        <v>2992</v>
      </c>
      <c r="M47" s="48">
        <v>5502</v>
      </c>
      <c r="N47" s="48">
        <v>40434</v>
      </c>
      <c r="O47" s="48">
        <v>15643</v>
      </c>
      <c r="P47" s="49">
        <f>SUM(D47:O47)</f>
        <v>206013</v>
      </c>
    </row>
    <row r="48" spans="3:16" ht="14.25" thickBot="1">
      <c r="C48" s="50" t="s">
        <v>19</v>
      </c>
      <c r="D48" s="51">
        <v>2393</v>
      </c>
      <c r="E48" s="51">
        <v>3955</v>
      </c>
      <c r="F48" s="51">
        <v>7171</v>
      </c>
      <c r="G48" s="51">
        <v>6293</v>
      </c>
      <c r="H48" s="52">
        <v>2576</v>
      </c>
      <c r="I48" s="51">
        <v>23653</v>
      </c>
      <c r="J48" s="52">
        <v>1715</v>
      </c>
      <c r="K48" s="52">
        <v>477</v>
      </c>
      <c r="L48" s="51">
        <v>1120</v>
      </c>
      <c r="M48" s="51">
        <v>1968</v>
      </c>
      <c r="N48" s="51">
        <v>11932</v>
      </c>
      <c r="O48" s="51">
        <v>5234</v>
      </c>
      <c r="P48" s="53">
        <f>SUM(D48:O48)</f>
        <v>68487</v>
      </c>
    </row>
    <row r="49" ht="14.25" thickTop="1"/>
  </sheetData>
  <sheetProtection/>
  <mergeCells count="2">
    <mergeCell ref="C5:G5"/>
    <mergeCell ref="C44:C4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20.28125" defaultRowHeight="15"/>
  <cols>
    <col min="1" max="1" width="13.7109375" style="0" customWidth="1"/>
    <col min="2" max="2" width="38.00390625" style="0" customWidth="1"/>
    <col min="3" max="3" width="38.57421875" style="0" customWidth="1"/>
    <col min="4" max="6" width="20.28125" style="0" customWidth="1"/>
    <col min="7" max="7" width="23.57421875" style="0" customWidth="1"/>
    <col min="8" max="8" width="12.7109375" style="0" customWidth="1"/>
    <col min="9" max="9" width="4.421875" style="0" customWidth="1"/>
    <col min="10" max="35" width="13.140625" style="0" customWidth="1"/>
  </cols>
  <sheetData>
    <row r="16" ht="13.5" customHeight="1"/>
    <row r="17" ht="11.25" customHeight="1"/>
    <row r="18" ht="18.75" customHeight="1"/>
    <row r="21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KoichiYamauchi</dc:creator>
  <cp:keywords/>
  <dc:description/>
  <cp:lastModifiedBy>KoichiYamauchi</cp:lastModifiedBy>
  <cp:lastPrinted>2011-04-28T01:49:31Z</cp:lastPrinted>
  <dcterms:created xsi:type="dcterms:W3CDTF">2011-04-24T08:33:27Z</dcterms:created>
  <dcterms:modified xsi:type="dcterms:W3CDTF">2011-05-04T00:28:02Z</dcterms:modified>
  <cp:category/>
  <cp:version/>
  <cp:contentType/>
  <cp:contentStatus/>
</cp:coreProperties>
</file>