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naoji\Documents\JOB\グッドエネジー\太陽光発電\02_秋田県\03_大館市\比内町扇田\"/>
    </mc:Choice>
  </mc:AlternateContent>
  <xr:revisionPtr revIDLastSave="0" documentId="13_ncr:1_{2E97E3A0-F37C-4AC9-A5F9-9D5098A207B2}" xr6:coauthVersionLast="47" xr6:coauthVersionMax="47" xr10:uidLastSave="{00000000-0000-0000-0000-000000000000}"/>
  <bookViews>
    <workbookView xWindow="38280" yWindow="-120" windowWidth="29040" windowHeight="17520" tabRatio="900" xr2:uid="{00000000-000D-0000-FFFF-FFFF00000000}"/>
  </bookViews>
  <sheets>
    <sheet name="初期条件" sheetId="1" r:id="rId1"/>
    <sheet name="年間システム発電量" sheetId="16" r:id="rId2"/>
    <sheet name="事業収支" sheetId="2" r:id="rId3"/>
    <sheet name="事業収支（抜粋）" sheetId="7" r:id="rId4"/>
    <sheet name="設備所有者の売電収入シナリオ" sheetId="6" r:id="rId5"/>
    <sheet name="借入返済表" sheetId="3" r:id="rId6"/>
    <sheet name="償却資産税の計算" sheetId="4" r:id="rId7"/>
  </sheets>
  <definedNames>
    <definedName name="_xlnm.Print_Area" localSheetId="2">事業収支!$B$30:$X$67</definedName>
    <definedName name="_xlnm.Print_Area" localSheetId="3">'事業収支（抜粋）'!$B$2:$M$32</definedName>
    <definedName name="_xlnm.Print_Area" localSheetId="5">借入返済表!$D$12:$K$198</definedName>
    <definedName name="_xlnm.Print_Area" localSheetId="0">初期条件!$B$10:$G$64</definedName>
    <definedName name="_xlnm.Print_Area" localSheetId="6">償却資産税の計算!$B$21:$H$48</definedName>
    <definedName name="_xlnm.Print_Area" localSheetId="4">設備所有者の売電収入シナリオ!$B$2:$G$36</definedName>
    <definedName name="_xlnm.Print_Area" localSheetId="1">年間システム発電量!$B$2:$R$31</definedName>
    <definedName name="solver_adj" localSheetId="1" hidden="1">年間システム発電量!$D$19</definedName>
    <definedName name="solver_cvg" localSheetId="1" hidden="1">0.0001</definedName>
    <definedName name="solver_drv" localSheetId="1" hidden="1">1</definedName>
    <definedName name="solver_eng" localSheetId="1" hidden="1">1</definedName>
    <definedName name="solver_est" localSheetId="1" hidden="1">1</definedName>
    <definedName name="solver_itr" localSheetId="1" hidden="1">2147483647</definedName>
    <definedName name="solver_lhs1" localSheetId="1" hidden="1">年間システム発電量!$D$19</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1" hidden="1">1</definedName>
    <definedName name="solver_nod" localSheetId="1" hidden="1">2147483647</definedName>
    <definedName name="solver_num" localSheetId="1" hidden="1">1</definedName>
    <definedName name="solver_nwt" localSheetId="1" hidden="1">1</definedName>
    <definedName name="solver_opt" localSheetId="1" hidden="1">年間システム発電量!#REF!</definedName>
    <definedName name="solver_pre" localSheetId="1" hidden="1">0.000001</definedName>
    <definedName name="solver_rbv" localSheetId="1" hidden="1">1</definedName>
    <definedName name="solver_rel1" localSheetId="1" hidden="1">4</definedName>
    <definedName name="solver_rhs1" localSheetId="1" hidden="1">"整数"</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1" hidden="1">1</definedName>
    <definedName name="solver_val" localSheetId="1" hidden="1">0</definedName>
    <definedName name="solver_ver" localSheetId="1" hidden="1">3</definedName>
    <definedName name="オプティマイザ名">#REF!</definedName>
    <definedName name="パワコン名">#REF!</definedName>
    <definedName name="モジュール名">#REF!</definedName>
    <definedName name="都市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3" i="1" l="1"/>
  <c r="C2" i="1"/>
  <c r="F46" i="1" l="1"/>
  <c r="G97" i="1" l="1"/>
  <c r="K8" i="1" l="1"/>
  <c r="K12" i="1" l="1"/>
  <c r="I24" i="16"/>
  <c r="I23" i="16"/>
  <c r="D18" i="16"/>
  <c r="G7" i="1" s="1"/>
  <c r="D55" i="1" s="1"/>
  <c r="E13" i="16"/>
  <c r="D13" i="16"/>
  <c r="O12" i="16"/>
  <c r="O13" i="16" s="1"/>
  <c r="N12" i="16"/>
  <c r="N13" i="16" s="1"/>
  <c r="N14" i="16" s="1"/>
  <c r="M12" i="16"/>
  <c r="M13" i="16" s="1"/>
  <c r="L12" i="16"/>
  <c r="L13" i="16" s="1"/>
  <c r="K12" i="16"/>
  <c r="K13" i="16" s="1"/>
  <c r="J12" i="16"/>
  <c r="J13" i="16" s="1"/>
  <c r="I12" i="16"/>
  <c r="I13" i="16" s="1"/>
  <c r="H12" i="16"/>
  <c r="H13" i="16" s="1"/>
  <c r="G12" i="16"/>
  <c r="G13" i="16" s="1"/>
  <c r="F12" i="16"/>
  <c r="P12" i="16" s="1"/>
  <c r="E12" i="16"/>
  <c r="D12" i="16"/>
  <c r="P11" i="16"/>
  <c r="O10" i="16"/>
  <c r="N10" i="16"/>
  <c r="M10" i="16"/>
  <c r="L10" i="16"/>
  <c r="K10" i="16"/>
  <c r="J10" i="16"/>
  <c r="I10" i="16"/>
  <c r="H10" i="16"/>
  <c r="G10" i="16"/>
  <c r="F10" i="16"/>
  <c r="E10" i="16"/>
  <c r="D10" i="16"/>
  <c r="P10" i="16" s="1"/>
  <c r="P8" i="16"/>
  <c r="N15" i="16" l="1"/>
  <c r="K15" i="16"/>
  <c r="G14" i="16"/>
  <c r="J14" i="16"/>
  <c r="M14" i="16"/>
  <c r="M15" i="16" s="1"/>
  <c r="O14" i="16"/>
  <c r="O15" i="16" s="1"/>
  <c r="F13" i="16"/>
  <c r="F14" i="16" s="1"/>
  <c r="F15" i="16" s="1"/>
  <c r="G15" i="16"/>
  <c r="E14" i="16"/>
  <c r="E15" i="16" s="1"/>
  <c r="I14" i="16"/>
  <c r="I15" i="16" s="1"/>
  <c r="L14" i="16"/>
  <c r="L15" i="16" s="1"/>
  <c r="J15" i="16"/>
  <c r="H14" i="16"/>
  <c r="H15" i="16" s="1"/>
  <c r="K14" i="16"/>
  <c r="D14" i="16"/>
  <c r="D15" i="16" s="1"/>
  <c r="P15" i="16" l="1"/>
  <c r="P16" i="16" s="1"/>
  <c r="G8" i="1" s="1"/>
  <c r="F73" i="1"/>
  <c r="D30" i="1" l="1"/>
  <c r="D29" i="1"/>
  <c r="D28" i="1"/>
  <c r="D32" i="1" l="1"/>
  <c r="Q30" i="1"/>
  <c r="Q29" i="1"/>
  <c r="Q28" i="1"/>
  <c r="D27" i="1"/>
  <c r="Q27" i="1" s="1"/>
  <c r="D26" i="1"/>
  <c r="Q25" i="1"/>
  <c r="D24" i="1"/>
  <c r="Q24" i="1" s="1"/>
  <c r="D23" i="1"/>
  <c r="Q12" i="1" l="1"/>
  <c r="Q14" i="1" s="1"/>
  <c r="Q15" i="1" s="1"/>
  <c r="Q17" i="1" s="1"/>
  <c r="O50" i="2" l="1"/>
  <c r="F25" i="1" l="1"/>
  <c r="F30" i="1"/>
  <c r="F29" i="1"/>
  <c r="F28" i="1"/>
  <c r="Q55" i="1" l="1"/>
  <c r="F55" i="1"/>
  <c r="F33" i="1"/>
  <c r="Q31" i="1"/>
  <c r="Q22" i="1"/>
  <c r="F47" i="1"/>
  <c r="Q47" i="1" s="1"/>
  <c r="F27" i="1" l="1"/>
  <c r="G13" i="1"/>
  <c r="Q32" i="1" l="1"/>
  <c r="D13" i="1"/>
  <c r="G24" i="1"/>
  <c r="E90" i="1" l="1"/>
  <c r="F41" i="1"/>
  <c r="F40" i="1"/>
  <c r="F76" i="1"/>
  <c r="F43" i="2" l="1"/>
  <c r="AD43" i="2"/>
  <c r="I43" i="2"/>
  <c r="L43" i="2"/>
  <c r="N43" i="2"/>
  <c r="P43" i="2"/>
  <c r="R43" i="2"/>
  <c r="T43" i="2"/>
  <c r="V43" i="2"/>
  <c r="W43" i="2"/>
  <c r="Y43" i="2"/>
  <c r="AB43" i="2"/>
  <c r="G43" i="2"/>
  <c r="H43" i="2"/>
  <c r="J43" i="2"/>
  <c r="K43" i="2"/>
  <c r="M43" i="2"/>
  <c r="O43" i="2"/>
  <c r="Q43" i="2"/>
  <c r="S43" i="2"/>
  <c r="U43" i="2"/>
  <c r="X43" i="2"/>
  <c r="Z43" i="2"/>
  <c r="AA43" i="2"/>
  <c r="AC43" i="2"/>
  <c r="D67" i="1"/>
  <c r="D12" i="1"/>
  <c r="AE43" i="2" l="1"/>
  <c r="F24" i="1"/>
  <c r="B5" i="6"/>
  <c r="Q26" i="1" l="1"/>
  <c r="F26" i="1"/>
  <c r="M7" i="1" s="1"/>
  <c r="Q23" i="1"/>
  <c r="D52" i="1"/>
  <c r="D54" i="1"/>
  <c r="F67" i="1" l="1"/>
  <c r="D19" i="1" l="1"/>
  <c r="F74" i="1"/>
  <c r="F51" i="2"/>
  <c r="F45" i="2" l="1"/>
  <c r="K36" i="1"/>
  <c r="K35" i="1"/>
  <c r="K34" i="1"/>
  <c r="F39" i="1" s="1"/>
  <c r="K33" i="1"/>
  <c r="F38" i="1" s="1"/>
  <c r="K26" i="1"/>
  <c r="F32" i="1" s="1"/>
  <c r="K25" i="1"/>
  <c r="K24" i="1"/>
  <c r="K23" i="1"/>
  <c r="M9" i="1" l="1"/>
  <c r="F56" i="1"/>
  <c r="Q46" i="1"/>
  <c r="Q56" i="1" s="1"/>
  <c r="J43" i="1"/>
  <c r="AC12" i="2"/>
  <c r="AB12" i="2"/>
  <c r="AA12" i="2"/>
  <c r="Z12" i="2"/>
  <c r="Y12" i="2"/>
  <c r="X12" i="2"/>
  <c r="W12" i="2"/>
  <c r="D21" i="1"/>
  <c r="F21" i="1" s="1"/>
  <c r="E5" i="6"/>
  <c r="C5" i="6"/>
  <c r="D5" i="6"/>
  <c r="H4" i="3"/>
  <c r="F180" i="3" s="1"/>
  <c r="G4" i="3"/>
  <c r="P4" i="3" s="1"/>
  <c r="D23" i="4"/>
  <c r="D24" i="4" s="1"/>
  <c r="D25" i="4" s="1"/>
  <c r="F77" i="1"/>
  <c r="F47" i="2" s="1"/>
  <c r="F71" i="1"/>
  <c r="G48" i="2" s="1"/>
  <c r="G20" i="2" s="1"/>
  <c r="F7" i="2"/>
  <c r="F8" i="2"/>
  <c r="F21" i="2"/>
  <c r="F22" i="2"/>
  <c r="F24" i="4"/>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G7" i="2"/>
  <c r="G8" i="2"/>
  <c r="G21" i="2"/>
  <c r="G22" i="2"/>
  <c r="H7" i="2"/>
  <c r="H8" i="2"/>
  <c r="H21" i="2"/>
  <c r="H22" i="2"/>
  <c r="I7" i="2"/>
  <c r="I8" i="2"/>
  <c r="I21" i="2"/>
  <c r="I22" i="2"/>
  <c r="D27" i="4"/>
  <c r="J7" i="2"/>
  <c r="J8" i="2"/>
  <c r="J21" i="2"/>
  <c r="J22" i="2"/>
  <c r="D28" i="4"/>
  <c r="D29" i="4" s="1"/>
  <c r="D30" i="4" s="1"/>
  <c r="D31" i="4" s="1"/>
  <c r="D32" i="4" s="1"/>
  <c r="D33" i="4" s="1"/>
  <c r="D34" i="4" s="1"/>
  <c r="D35" i="4" s="1"/>
  <c r="D36" i="4" s="1"/>
  <c r="D37" i="4" s="1"/>
  <c r="D38" i="4" s="1"/>
  <c r="D39" i="4" s="1"/>
  <c r="D40" i="4" s="1"/>
  <c r="D41" i="4" s="1"/>
  <c r="D42" i="4" s="1"/>
  <c r="D43" i="4" s="1"/>
  <c r="D44" i="4" s="1"/>
  <c r="D45" i="4" s="1"/>
  <c r="D46" i="4" s="1"/>
  <c r="D47" i="4" s="1"/>
  <c r="K7" i="2"/>
  <c r="K8" i="2"/>
  <c r="K21" i="2"/>
  <c r="K22" i="2"/>
  <c r="L7" i="2"/>
  <c r="L8" i="2"/>
  <c r="L21" i="2"/>
  <c r="L22" i="2"/>
  <c r="M7" i="2"/>
  <c r="M8" i="2"/>
  <c r="M21" i="2"/>
  <c r="M22" i="2"/>
  <c r="N7" i="2"/>
  <c r="N8" i="2"/>
  <c r="N21" i="2"/>
  <c r="N22" i="2"/>
  <c r="AE50" i="2"/>
  <c r="M25" i="7" s="1"/>
  <c r="O7" i="2"/>
  <c r="O8" i="2"/>
  <c r="O21" i="2"/>
  <c r="H17" i="7"/>
  <c r="P7" i="2"/>
  <c r="P8" i="2"/>
  <c r="P21" i="2"/>
  <c r="P22" i="2"/>
  <c r="Q7" i="2"/>
  <c r="Q8" i="2"/>
  <c r="Q21" i="2"/>
  <c r="Q22" i="2"/>
  <c r="R7" i="2"/>
  <c r="R8" i="2"/>
  <c r="R21" i="2"/>
  <c r="R22" i="2"/>
  <c r="S7" i="2"/>
  <c r="S8" i="2"/>
  <c r="S21" i="2"/>
  <c r="S22" i="2"/>
  <c r="I17" i="7"/>
  <c r="T7" i="2"/>
  <c r="T8" i="2"/>
  <c r="T21" i="2"/>
  <c r="T22" i="2"/>
  <c r="U40" i="2"/>
  <c r="J15" i="7" s="1"/>
  <c r="U41" i="2"/>
  <c r="J16" i="7" s="1"/>
  <c r="J17" i="7"/>
  <c r="U7" i="2"/>
  <c r="U8" i="2"/>
  <c r="U21" i="2"/>
  <c r="U22" i="2"/>
  <c r="V40" i="2"/>
  <c r="V41" i="2"/>
  <c r="V14" i="2" s="1"/>
  <c r="V7" i="2"/>
  <c r="V8" i="2"/>
  <c r="V21" i="2"/>
  <c r="V22" i="2"/>
  <c r="W40" i="2"/>
  <c r="W41" i="2"/>
  <c r="W14" i="2" s="1"/>
  <c r="W7" i="2"/>
  <c r="W8" i="2"/>
  <c r="X40" i="2"/>
  <c r="X41" i="2"/>
  <c r="X14" i="2" s="1"/>
  <c r="X7" i="2"/>
  <c r="X8" i="2"/>
  <c r="Y40" i="2"/>
  <c r="K15" i="7" s="1"/>
  <c r="Y41" i="2"/>
  <c r="K16" i="7" s="1"/>
  <c r="K17" i="7"/>
  <c r="Y7" i="2"/>
  <c r="Y8" i="2"/>
  <c r="C17" i="2"/>
  <c r="C16" i="2"/>
  <c r="D51" i="1"/>
  <c r="C14" i="7"/>
  <c r="C15" i="7"/>
  <c r="C16" i="7"/>
  <c r="C17" i="7"/>
  <c r="C18" i="7"/>
  <c r="C19" i="7"/>
  <c r="C20" i="7"/>
  <c r="C21" i="7"/>
  <c r="C22" i="7"/>
  <c r="C23" i="7"/>
  <c r="C26" i="7"/>
  <c r="C25" i="7"/>
  <c r="C24" i="7"/>
  <c r="H47" i="4"/>
  <c r="H46" i="4"/>
  <c r="H45" i="4"/>
  <c r="H44" i="4"/>
  <c r="H43" i="4"/>
  <c r="H42" i="4"/>
  <c r="H41" i="4"/>
  <c r="H40" i="4"/>
  <c r="H39" i="4"/>
  <c r="H38" i="4"/>
  <c r="H37" i="4"/>
  <c r="H36" i="4"/>
  <c r="H35" i="4"/>
  <c r="H34" i="4"/>
  <c r="H33" i="4"/>
  <c r="H32" i="4"/>
  <c r="H31" i="4"/>
  <c r="H30" i="4"/>
  <c r="H29" i="4"/>
  <c r="H28" i="4"/>
  <c r="H27" i="4"/>
  <c r="H26" i="4"/>
  <c r="H25" i="4"/>
  <c r="H24" i="4"/>
  <c r="H23" i="4"/>
  <c r="H22" i="4"/>
  <c r="AI21" i="4"/>
  <c r="G14" i="3"/>
  <c r="F14" i="3"/>
  <c r="E14" i="3"/>
  <c r="I4" i="3"/>
  <c r="R4" i="3" s="1"/>
  <c r="D14" i="6"/>
  <c r="L12" i="7"/>
  <c r="K12" i="7"/>
  <c r="J12" i="7"/>
  <c r="I12" i="7"/>
  <c r="H12" i="7"/>
  <c r="G12" i="7"/>
  <c r="F12" i="7"/>
  <c r="E12" i="7"/>
  <c r="L11" i="7"/>
  <c r="K11" i="7"/>
  <c r="J11" i="7"/>
  <c r="I11" i="7"/>
  <c r="H11" i="7"/>
  <c r="G11" i="7"/>
  <c r="F11" i="7"/>
  <c r="E11" i="7"/>
  <c r="I5" i="7"/>
  <c r="H5" i="7"/>
  <c r="G5" i="7"/>
  <c r="F5" i="7"/>
  <c r="F3" i="7"/>
  <c r="K79" i="2"/>
  <c r="L79" i="2" s="1"/>
  <c r="K78" i="2"/>
  <c r="L78" i="2" s="1"/>
  <c r="K75" i="2"/>
  <c r="L75" i="2" s="1"/>
  <c r="K74" i="2"/>
  <c r="L74" i="2" s="1"/>
  <c r="L72" i="2"/>
  <c r="F68" i="2"/>
  <c r="E68" i="2"/>
  <c r="D68" i="2"/>
  <c r="AD61" i="2"/>
  <c r="AC61" i="2"/>
  <c r="AB61" i="2"/>
  <c r="AA61" i="2"/>
  <c r="Z61" i="2"/>
  <c r="Y61" i="2"/>
  <c r="X61" i="2"/>
  <c r="Y49" i="2" s="1"/>
  <c r="K24" i="7" s="1"/>
  <c r="W61" i="2"/>
  <c r="V61" i="2"/>
  <c r="U61" i="2"/>
  <c r="T61" i="2"/>
  <c r="S61" i="2"/>
  <c r="R61" i="2"/>
  <c r="Q61" i="2"/>
  <c r="P61" i="2"/>
  <c r="O61" i="2"/>
  <c r="N61" i="2"/>
  <c r="M61" i="2"/>
  <c r="L61" i="2"/>
  <c r="K61" i="2"/>
  <c r="J61" i="2"/>
  <c r="I61" i="2"/>
  <c r="H61" i="2"/>
  <c r="G61" i="2"/>
  <c r="F61" i="2"/>
  <c r="AD42" i="2"/>
  <c r="L19" i="7" s="1"/>
  <c r="AC42" i="2"/>
  <c r="AC15" i="2" s="1"/>
  <c r="AB42" i="2"/>
  <c r="AB15" i="2" s="1"/>
  <c r="AA42" i="2"/>
  <c r="AA15" i="2" s="1"/>
  <c r="Z42" i="2"/>
  <c r="Z15" i="2" s="1"/>
  <c r="L17" i="7"/>
  <c r="AD41" i="2"/>
  <c r="AD14" i="2" s="1"/>
  <c r="AC41" i="2"/>
  <c r="AC14" i="2" s="1"/>
  <c r="AB41" i="2"/>
  <c r="AB14" i="2" s="1"/>
  <c r="AA41" i="2"/>
  <c r="AA14" i="2" s="1"/>
  <c r="Z41" i="2"/>
  <c r="Z14" i="2" s="1"/>
  <c r="AD40" i="2"/>
  <c r="L15" i="7" s="1"/>
  <c r="AC40" i="2"/>
  <c r="AB40" i="2"/>
  <c r="AA40" i="2"/>
  <c r="Z40" i="2"/>
  <c r="AE37" i="2"/>
  <c r="M12" i="7" s="1"/>
  <c r="AE36" i="2"/>
  <c r="M11" i="7" s="1"/>
  <c r="AE33" i="2"/>
  <c r="AE32" i="2"/>
  <c r="B31" i="2"/>
  <c r="C22" i="2"/>
  <c r="C21" i="2"/>
  <c r="C19" i="2"/>
  <c r="AD12" i="2"/>
  <c r="AD8" i="2"/>
  <c r="AC8" i="2"/>
  <c r="AB8" i="2"/>
  <c r="AA8" i="2"/>
  <c r="Z8" i="2"/>
  <c r="AD7" i="2"/>
  <c r="AC7" i="2"/>
  <c r="AB7" i="2"/>
  <c r="AA7" i="2"/>
  <c r="Z7" i="2"/>
  <c r="N32" i="1"/>
  <c r="N68" i="1" s="1"/>
  <c r="M32" i="1"/>
  <c r="M68" i="1" s="1"/>
  <c r="L32" i="1"/>
  <c r="L68" i="1" s="1"/>
  <c r="K32" i="1"/>
  <c r="K68" i="1" s="1"/>
  <c r="J32" i="1"/>
  <c r="J69" i="1" s="1"/>
  <c r="M21" i="1"/>
  <c r="D65" i="2"/>
  <c r="F65" i="2" s="1"/>
  <c r="D16" i="1"/>
  <c r="F10" i="1"/>
  <c r="G2" i="7"/>
  <c r="I2" i="7" s="1"/>
  <c r="M69" i="1"/>
  <c r="M70" i="1" s="1"/>
  <c r="K19" i="7"/>
  <c r="Y15" i="2"/>
  <c r="W21" i="2"/>
  <c r="X21" i="2"/>
  <c r="H24" i="7"/>
  <c r="J24" i="7"/>
  <c r="G24" i="7"/>
  <c r="F24" i="7"/>
  <c r="I24" i="7"/>
  <c r="M6" i="7"/>
  <c r="AD21" i="2"/>
  <c r="AB21" i="2"/>
  <c r="D21" i="2"/>
  <c r="D24" i="7" s="1"/>
  <c r="AA21" i="2"/>
  <c r="AC21" i="2"/>
  <c r="Z21" i="2"/>
  <c r="L24" i="7"/>
  <c r="E24" i="7"/>
  <c r="AC20" i="2"/>
  <c r="X22" i="2"/>
  <c r="AC22" i="2"/>
  <c r="W22" i="2"/>
  <c r="AA22" i="2"/>
  <c r="AA20" i="2"/>
  <c r="Z22" i="2"/>
  <c r="AB22" i="2"/>
  <c r="AB20" i="2"/>
  <c r="Z20" i="2"/>
  <c r="AD20" i="2"/>
  <c r="L23" i="7"/>
  <c r="H25" i="7"/>
  <c r="I25" i="7"/>
  <c r="E25" i="7"/>
  <c r="Y22" i="2"/>
  <c r="K25" i="7"/>
  <c r="J25" i="7"/>
  <c r="F25" i="7"/>
  <c r="L25" i="7"/>
  <c r="AD22" i="2"/>
  <c r="Y21" i="2" l="1"/>
  <c r="AE49" i="2"/>
  <c r="M24" i="7" s="1"/>
  <c r="G164" i="3"/>
  <c r="AE8" i="2"/>
  <c r="F142" i="3"/>
  <c r="G185" i="3"/>
  <c r="G169" i="3"/>
  <c r="G170" i="3"/>
  <c r="G191" i="3"/>
  <c r="G186" i="3"/>
  <c r="F139" i="3"/>
  <c r="F140" i="3"/>
  <c r="L16" i="7"/>
  <c r="AE7" i="2"/>
  <c r="Y48" i="2"/>
  <c r="K23" i="7" s="1"/>
  <c r="F183" i="3"/>
  <c r="G171" i="3"/>
  <c r="U48" i="2"/>
  <c r="U20" i="2" s="1"/>
  <c r="P48" i="2"/>
  <c r="G10" i="6"/>
  <c r="S48" i="2"/>
  <c r="S20" i="2" s="1"/>
  <c r="V48" i="2"/>
  <c r="V20" i="2" s="1"/>
  <c r="X48" i="2"/>
  <c r="X20" i="2" s="1"/>
  <c r="W48" i="2"/>
  <c r="W20" i="2" s="1"/>
  <c r="I48" i="2"/>
  <c r="I20" i="2" s="1"/>
  <c r="L48" i="2"/>
  <c r="L20" i="2" s="1"/>
  <c r="N21" i="1"/>
  <c r="G25" i="6"/>
  <c r="D15" i="6"/>
  <c r="C25" i="6"/>
  <c r="F15" i="6"/>
  <c r="U14" i="2"/>
  <c r="G20" i="6"/>
  <c r="C14" i="6"/>
  <c r="AD15" i="2"/>
  <c r="N69" i="1"/>
  <c r="N70" i="1" s="1"/>
  <c r="H48" i="2"/>
  <c r="H20" i="2" s="1"/>
  <c r="Y14" i="2"/>
  <c r="G152" i="3"/>
  <c r="F173" i="3"/>
  <c r="G195" i="3"/>
  <c r="G153" i="3"/>
  <c r="F162" i="3"/>
  <c r="G196" i="3"/>
  <c r="G180" i="3"/>
  <c r="H180" i="3" s="1"/>
  <c r="G151" i="3"/>
  <c r="F190" i="3"/>
  <c r="G141" i="3"/>
  <c r="F158" i="3"/>
  <c r="F9" i="6"/>
  <c r="F24" i="6"/>
  <c r="R48" i="2"/>
  <c r="R20" i="2" s="1"/>
  <c r="F48" i="2"/>
  <c r="G157" i="3"/>
  <c r="G175" i="3"/>
  <c r="F149" i="3"/>
  <c r="G167" i="3"/>
  <c r="G154" i="3"/>
  <c r="G168" i="3"/>
  <c r="G189" i="3"/>
  <c r="G24" i="6"/>
  <c r="E24" i="6"/>
  <c r="F194" i="3"/>
  <c r="F156" i="3"/>
  <c r="G174" i="3"/>
  <c r="F195" i="3"/>
  <c r="C19" i="6"/>
  <c r="F160" i="3"/>
  <c r="F174" i="3"/>
  <c r="E29" i="6"/>
  <c r="E30" i="6" s="1"/>
  <c r="G140" i="3"/>
  <c r="F157" i="3"/>
  <c r="F179" i="3"/>
  <c r="D19" i="6"/>
  <c r="F154" i="3"/>
  <c r="G193" i="3"/>
  <c r="F171" i="3"/>
  <c r="F138" i="3"/>
  <c r="E9" i="6"/>
  <c r="Q48" i="2"/>
  <c r="Q20" i="2" s="1"/>
  <c r="O48" i="2"/>
  <c r="N48" i="2"/>
  <c r="N20" i="2" s="1"/>
  <c r="M48" i="2"/>
  <c r="M20" i="2" s="1"/>
  <c r="J48" i="2"/>
  <c r="K48" i="2"/>
  <c r="K20" i="2" s="1"/>
  <c r="T48" i="2"/>
  <c r="G45" i="2"/>
  <c r="H45" i="2" s="1"/>
  <c r="I45" i="2" s="1"/>
  <c r="J45" i="2" s="1"/>
  <c r="K45" i="2" s="1"/>
  <c r="L45" i="2" s="1"/>
  <c r="M45" i="2" s="1"/>
  <c r="N45" i="2" s="1"/>
  <c r="O45" i="2" s="1"/>
  <c r="P45" i="2" s="1"/>
  <c r="Q45" i="2" s="1"/>
  <c r="R45" i="2" s="1"/>
  <c r="S45" i="2" s="1"/>
  <c r="T45" i="2" s="1"/>
  <c r="U45" i="2" s="1"/>
  <c r="V45" i="2" s="1"/>
  <c r="W45" i="2" s="1"/>
  <c r="X45" i="2" s="1"/>
  <c r="Y45" i="2" s="1"/>
  <c r="Z45" i="2" s="1"/>
  <c r="AA45" i="2" s="1"/>
  <c r="AB45" i="2" s="1"/>
  <c r="AC45" i="2" s="1"/>
  <c r="AD45" i="2" s="1"/>
  <c r="F17" i="2"/>
  <c r="F44" i="1"/>
  <c r="G47" i="2"/>
  <c r="F19" i="2"/>
  <c r="E22" i="7"/>
  <c r="E15" i="6"/>
  <c r="F10" i="6"/>
  <c r="F25" i="6"/>
  <c r="D20" i="6"/>
  <c r="D10" i="6"/>
  <c r="E10" i="6"/>
  <c r="F20" i="6"/>
  <c r="C20" i="6"/>
  <c r="E25" i="6"/>
  <c r="C10" i="6"/>
  <c r="E20" i="6"/>
  <c r="C15" i="6"/>
  <c r="D25" i="6"/>
  <c r="G15" i="6"/>
  <c r="G156" i="3"/>
  <c r="G173" i="3"/>
  <c r="F178" i="3"/>
  <c r="F144" i="3"/>
  <c r="F161" i="3"/>
  <c r="G179" i="3"/>
  <c r="F188" i="3"/>
  <c r="D9" i="6"/>
  <c r="F141" i="3"/>
  <c r="F168" i="3"/>
  <c r="F155" i="3"/>
  <c r="G181" i="3"/>
  <c r="F151" i="3"/>
  <c r="O22" i="2"/>
  <c r="G25" i="7"/>
  <c r="M23" i="1"/>
  <c r="G139" i="3"/>
  <c r="F159" i="3"/>
  <c r="G163" i="3"/>
  <c r="G177" i="3"/>
  <c r="G190" i="3"/>
  <c r="Q4" i="3"/>
  <c r="G176" i="3"/>
  <c r="F164" i="3"/>
  <c r="G197" i="3"/>
  <c r="G155" i="3"/>
  <c r="G149" i="3"/>
  <c r="F146" i="3"/>
  <c r="G194" i="3"/>
  <c r="F185" i="3"/>
  <c r="F163" i="3"/>
  <c r="G159" i="3"/>
  <c r="G146" i="3"/>
  <c r="F197" i="3"/>
  <c r="F184" i="3"/>
  <c r="G172" i="3"/>
  <c r="G158" i="3"/>
  <c r="G145" i="3"/>
  <c r="F196" i="3"/>
  <c r="G192" i="3"/>
  <c r="F175" i="3"/>
  <c r="F170" i="3"/>
  <c r="G166" i="3"/>
  <c r="F153" i="3"/>
  <c r="G148" i="3"/>
  <c r="F191" i="3"/>
  <c r="G187" i="3"/>
  <c r="G182" i="3"/>
  <c r="F169" i="3"/>
  <c r="G165" i="3"/>
  <c r="F152" i="3"/>
  <c r="F147" i="3"/>
  <c r="G147" i="3"/>
  <c r="F172" i="3"/>
  <c r="F181" i="3"/>
  <c r="F186" i="3"/>
  <c r="F193" i="3"/>
  <c r="F167" i="3"/>
  <c r="F150" i="3"/>
  <c r="G184" i="3"/>
  <c r="F145" i="3"/>
  <c r="G142" i="3"/>
  <c r="F177" i="3"/>
  <c r="G138" i="3"/>
  <c r="F189" i="3"/>
  <c r="F176" i="3"/>
  <c r="G150" i="3"/>
  <c r="F192" i="3"/>
  <c r="G188" i="3"/>
  <c r="G183" i="3"/>
  <c r="F166" i="3"/>
  <c r="G162" i="3"/>
  <c r="G161" i="3"/>
  <c r="F148" i="3"/>
  <c r="G144" i="3"/>
  <c r="F187" i="3"/>
  <c r="F182" i="3"/>
  <c r="G178" i="3"/>
  <c r="F165" i="3"/>
  <c r="G160" i="3"/>
  <c r="F143" i="3"/>
  <c r="G143" i="3"/>
  <c r="D29" i="6"/>
  <c r="D30" i="6" s="1"/>
  <c r="G9" i="6"/>
  <c r="G14" i="6"/>
  <c r="C9" i="6"/>
  <c r="C29" i="6"/>
  <c r="C30" i="6" s="1"/>
  <c r="G19" i="6"/>
  <c r="C24" i="6"/>
  <c r="F19" i="6"/>
  <c r="E19" i="6"/>
  <c r="G29" i="6"/>
  <c r="G30" i="6" s="1"/>
  <c r="D24" i="6"/>
  <c r="F14" i="6"/>
  <c r="E14" i="6"/>
  <c r="F29" i="6"/>
  <c r="F30" i="6" s="1"/>
  <c r="H164" i="3" l="1"/>
  <c r="H191" i="3"/>
  <c r="H185" i="3"/>
  <c r="H142" i="3"/>
  <c r="H170" i="3"/>
  <c r="H169" i="3"/>
  <c r="H139" i="3"/>
  <c r="H183" i="3"/>
  <c r="Y20" i="2"/>
  <c r="H140" i="3"/>
  <c r="H166" i="3"/>
  <c r="H163" i="3"/>
  <c r="H192" i="3"/>
  <c r="C9" i="4"/>
  <c r="K22" i="1"/>
  <c r="J23" i="7"/>
  <c r="H171" i="3"/>
  <c r="H23" i="7"/>
  <c r="P20" i="2"/>
  <c r="G44" i="1"/>
  <c r="H189" i="3"/>
  <c r="H149" i="3"/>
  <c r="H151" i="3"/>
  <c r="H156" i="3"/>
  <c r="H195" i="3"/>
  <c r="H153" i="3"/>
  <c r="H152" i="3"/>
  <c r="H193" i="3"/>
  <c r="H190" i="3"/>
  <c r="H158" i="3"/>
  <c r="H194" i="3"/>
  <c r="H154" i="3"/>
  <c r="H157" i="3"/>
  <c r="H196" i="3"/>
  <c r="H168" i="3"/>
  <c r="H179" i="3"/>
  <c r="H173" i="3"/>
  <c r="H174" i="3"/>
  <c r="H141" i="3"/>
  <c r="H167" i="3"/>
  <c r="O20" i="2"/>
  <c r="G23" i="7"/>
  <c r="J20" i="2"/>
  <c r="F23" i="7"/>
  <c r="H160" i="3"/>
  <c r="F20" i="2"/>
  <c r="E23" i="7"/>
  <c r="AE48" i="2"/>
  <c r="M23" i="7" s="1"/>
  <c r="I23" i="7"/>
  <c r="T20" i="2"/>
  <c r="H47" i="2"/>
  <c r="G19" i="2"/>
  <c r="H165" i="3"/>
  <c r="H182" i="3"/>
  <c r="J161" i="3"/>
  <c r="H177" i="3"/>
  <c r="H181" i="3"/>
  <c r="J197" i="3"/>
  <c r="S7" i="3" s="1"/>
  <c r="H184" i="3"/>
  <c r="J185" i="3"/>
  <c r="H148" i="3"/>
  <c r="H172" i="3"/>
  <c r="H197" i="3"/>
  <c r="H159" i="3"/>
  <c r="H147" i="3"/>
  <c r="H146" i="3"/>
  <c r="H188" i="3"/>
  <c r="H176" i="3"/>
  <c r="H143" i="3"/>
  <c r="H145" i="3"/>
  <c r="I185" i="3"/>
  <c r="H175" i="3"/>
  <c r="H161" i="3"/>
  <c r="P139" i="3"/>
  <c r="P174" i="3"/>
  <c r="P181" i="3"/>
  <c r="P149" i="3"/>
  <c r="P178" i="3"/>
  <c r="P182" i="3"/>
  <c r="P142" i="3"/>
  <c r="P176" i="3"/>
  <c r="P180" i="3"/>
  <c r="P184" i="3"/>
  <c r="P168" i="3"/>
  <c r="P155" i="3"/>
  <c r="P161" i="3"/>
  <c r="P137" i="3"/>
  <c r="P135" i="3"/>
  <c r="P157" i="3"/>
  <c r="P186" i="3"/>
  <c r="P154" i="3"/>
  <c r="P167" i="3"/>
  <c r="P144" i="3"/>
  <c r="P183" i="3"/>
  <c r="P191" i="3"/>
  <c r="P145" i="3"/>
  <c r="P140" i="3"/>
  <c r="P141" i="3"/>
  <c r="P164" i="3"/>
  <c r="P162" i="3"/>
  <c r="P177" i="3"/>
  <c r="P158" i="3"/>
  <c r="P166" i="3"/>
  <c r="P187" i="3"/>
  <c r="P165" i="3"/>
  <c r="P175" i="3"/>
  <c r="P190" i="3"/>
  <c r="P138" i="3"/>
  <c r="P179" i="3"/>
  <c r="P143" i="3"/>
  <c r="P169" i="3"/>
  <c r="P170" i="3"/>
  <c r="P185" i="3"/>
  <c r="P150" i="3"/>
  <c r="P151" i="3"/>
  <c r="P172" i="3"/>
  <c r="P134" i="3"/>
  <c r="P193" i="3"/>
  <c r="P160" i="3"/>
  <c r="P148" i="3"/>
  <c r="P192" i="3"/>
  <c r="P147" i="3"/>
  <c r="P171" i="3"/>
  <c r="P152" i="3"/>
  <c r="P153" i="3"/>
  <c r="P146" i="3"/>
  <c r="P156" i="3"/>
  <c r="P159" i="3"/>
  <c r="P163" i="3"/>
  <c r="P189" i="3"/>
  <c r="P173" i="3"/>
  <c r="P188" i="3"/>
  <c r="P136" i="3"/>
  <c r="I149" i="3"/>
  <c r="H187" i="3"/>
  <c r="J173" i="3"/>
  <c r="H162" i="3"/>
  <c r="H138" i="3"/>
  <c r="J149" i="3"/>
  <c r="I197" i="3"/>
  <c r="H186" i="3"/>
  <c r="H144" i="3"/>
  <c r="I173" i="3"/>
  <c r="I161" i="3"/>
  <c r="H150" i="3"/>
  <c r="H155" i="3"/>
  <c r="H178" i="3"/>
  <c r="M55" i="1" l="1"/>
  <c r="N55" i="1"/>
  <c r="M24" i="1"/>
  <c r="M26" i="1"/>
  <c r="N26" i="1" s="1"/>
  <c r="F22" i="1"/>
  <c r="M22" i="1"/>
  <c r="M25" i="1"/>
  <c r="F31" i="1"/>
  <c r="M8" i="1" s="1"/>
  <c r="D3" i="2"/>
  <c r="B21" i="4"/>
  <c r="C8" i="6"/>
  <c r="AE20" i="2"/>
  <c r="H19" i="2"/>
  <c r="I47" i="2"/>
  <c r="P7" i="3"/>
  <c r="R7" i="3"/>
  <c r="T157" i="3"/>
  <c r="P9" i="3" s="1"/>
  <c r="Q7" i="3"/>
  <c r="O7" i="3"/>
  <c r="K149" i="3"/>
  <c r="O8" i="3"/>
  <c r="T181" i="3"/>
  <c r="R9" i="3" s="1"/>
  <c r="K173" i="3"/>
  <c r="Q8" i="3"/>
  <c r="P8" i="3"/>
  <c r="K161" i="3"/>
  <c r="T193" i="3"/>
  <c r="S9" i="3" s="1"/>
  <c r="T169" i="3"/>
  <c r="Q9" i="3" s="1"/>
  <c r="N23" i="1"/>
  <c r="K197" i="3"/>
  <c r="S8" i="3"/>
  <c r="T145" i="3"/>
  <c r="O9" i="3" s="1"/>
  <c r="K185" i="3"/>
  <c r="R8" i="3"/>
  <c r="L42" i="2" l="1"/>
  <c r="P42" i="2"/>
  <c r="R42" i="2"/>
  <c r="R15" i="2" s="1"/>
  <c r="M42" i="2"/>
  <c r="O42" i="2"/>
  <c r="S42" i="2"/>
  <c r="S15" i="2" s="1"/>
  <c r="K42" i="2"/>
  <c r="N42" i="2"/>
  <c r="H42" i="2"/>
  <c r="F42" i="2"/>
  <c r="F79" i="1" s="1"/>
  <c r="J42" i="2"/>
  <c r="U42" i="2"/>
  <c r="G42" i="2"/>
  <c r="V42" i="2"/>
  <c r="V15" i="2" s="1"/>
  <c r="I42" i="2"/>
  <c r="T42" i="2"/>
  <c r="Q42" i="2"/>
  <c r="Q15" i="2" s="1"/>
  <c r="X42" i="2"/>
  <c r="X15" i="2" s="1"/>
  <c r="W42" i="2"/>
  <c r="W15" i="2" s="1"/>
  <c r="T40" i="2"/>
  <c r="I15" i="7" s="1"/>
  <c r="S40" i="2"/>
  <c r="R40" i="2"/>
  <c r="P40" i="2"/>
  <c r="H15" i="7" s="1"/>
  <c r="Q40" i="2"/>
  <c r="N25" i="1"/>
  <c r="N22" i="1"/>
  <c r="E2" i="6"/>
  <c r="D31" i="2"/>
  <c r="D8" i="6"/>
  <c r="C11" i="6"/>
  <c r="N24" i="1"/>
  <c r="J47" i="2"/>
  <c r="I19" i="2"/>
  <c r="U15" i="2" l="1"/>
  <c r="J19" i="7"/>
  <c r="T15" i="2"/>
  <c r="I19" i="7"/>
  <c r="H19" i="7"/>
  <c r="P15" i="2"/>
  <c r="E8" i="6"/>
  <c r="D11" i="6"/>
  <c r="G35" i="2" s="1"/>
  <c r="F35" i="2"/>
  <c r="J73" i="2"/>
  <c r="D2" i="7"/>
  <c r="D9" i="7" s="1"/>
  <c r="K73" i="2"/>
  <c r="L73" i="2"/>
  <c r="J19" i="2"/>
  <c r="K47" i="2"/>
  <c r="F22" i="7"/>
  <c r="K76" i="2" l="1"/>
  <c r="K80" i="2" s="1"/>
  <c r="K77" i="2"/>
  <c r="K81" i="2" s="1"/>
  <c r="E10" i="7"/>
  <c r="F6" i="2"/>
  <c r="F5" i="2" s="1"/>
  <c r="F34" i="2"/>
  <c r="E9" i="7" s="1"/>
  <c r="G34" i="2"/>
  <c r="G6" i="2"/>
  <c r="G5" i="2" s="1"/>
  <c r="L77" i="2"/>
  <c r="L81" i="2" s="1"/>
  <c r="L76" i="2"/>
  <c r="L80" i="2" s="1"/>
  <c r="J77" i="2"/>
  <c r="J81" i="2" s="1"/>
  <c r="J76" i="2"/>
  <c r="J80" i="2" s="1"/>
  <c r="F8" i="6"/>
  <c r="E11" i="6"/>
  <c r="H35" i="2" s="1"/>
  <c r="L47" i="2"/>
  <c r="K19" i="2"/>
  <c r="G8" i="6" l="1"/>
  <c r="F11" i="6"/>
  <c r="I35" i="2" s="1"/>
  <c r="H34" i="2"/>
  <c r="H6" i="2"/>
  <c r="H5" i="2" s="1"/>
  <c r="M47" i="2"/>
  <c r="L19" i="2"/>
  <c r="F39" i="2" l="1"/>
  <c r="C13" i="6"/>
  <c r="G11" i="6"/>
  <c r="J35" i="2" s="1"/>
  <c r="I34" i="2"/>
  <c r="I6" i="2"/>
  <c r="I5" i="2" s="1"/>
  <c r="N47" i="2"/>
  <c r="M19" i="2"/>
  <c r="G39" i="2" l="1"/>
  <c r="E14" i="7"/>
  <c r="F13" i="2"/>
  <c r="D13" i="6"/>
  <c r="C16" i="6"/>
  <c r="K35" i="2" s="1"/>
  <c r="F10" i="7"/>
  <c r="J34" i="2"/>
  <c r="F9" i="7" s="1"/>
  <c r="J6" i="2"/>
  <c r="J5" i="2" s="1"/>
  <c r="G51" i="2"/>
  <c r="E26" i="7"/>
  <c r="F23" i="2"/>
  <c r="N19" i="2"/>
  <c r="O47" i="2"/>
  <c r="E13" i="6" l="1"/>
  <c r="D16" i="6"/>
  <c r="L35" i="2" s="1"/>
  <c r="G23" i="2"/>
  <c r="H51" i="2"/>
  <c r="I15" i="2"/>
  <c r="F36" i="1"/>
  <c r="L15" i="2"/>
  <c r="N31" i="1"/>
  <c r="K15" i="2"/>
  <c r="M15" i="2"/>
  <c r="N15" i="2"/>
  <c r="G15" i="2"/>
  <c r="H15" i="2"/>
  <c r="K34" i="2"/>
  <c r="K6" i="2"/>
  <c r="K5" i="2" s="1"/>
  <c r="H39" i="2"/>
  <c r="G13" i="2"/>
  <c r="M31" i="1"/>
  <c r="K31" i="1" s="1"/>
  <c r="P47" i="2"/>
  <c r="O19" i="2"/>
  <c r="G22" i="7"/>
  <c r="D81" i="1" l="1"/>
  <c r="D82" i="1"/>
  <c r="F15" i="2"/>
  <c r="AE42" i="2"/>
  <c r="M19" i="7" s="1"/>
  <c r="E19" i="7"/>
  <c r="G36" i="1"/>
  <c r="H13" i="2"/>
  <c r="I39" i="2"/>
  <c r="F19" i="7"/>
  <c r="J15" i="2"/>
  <c r="L34" i="2"/>
  <c r="L6" i="2"/>
  <c r="L5" i="2" s="1"/>
  <c r="O15" i="2"/>
  <c r="G19" i="7"/>
  <c r="H23" i="2"/>
  <c r="I51" i="2"/>
  <c r="E16" i="6"/>
  <c r="M35" i="2" s="1"/>
  <c r="F13" i="6"/>
  <c r="Q47" i="2"/>
  <c r="H22" i="7"/>
  <c r="P19" i="2"/>
  <c r="D80" i="1" l="1"/>
  <c r="F80" i="1" s="1"/>
  <c r="M34" i="2"/>
  <c r="M6" i="2"/>
  <c r="M5" i="2" s="1"/>
  <c r="J51" i="2"/>
  <c r="I23" i="2"/>
  <c r="I13" i="2"/>
  <c r="J39" i="2"/>
  <c r="G13" i="6"/>
  <c r="F16" i="6"/>
  <c r="N35" i="2" s="1"/>
  <c r="AE15" i="2"/>
  <c r="Q19" i="2"/>
  <c r="R47" i="2"/>
  <c r="G16" i="6" l="1"/>
  <c r="O35" i="2" s="1"/>
  <c r="C18" i="6"/>
  <c r="K51" i="2"/>
  <c r="F26" i="7"/>
  <c r="J23" i="2"/>
  <c r="K39" i="2"/>
  <c r="F14" i="7"/>
  <c r="J13" i="2"/>
  <c r="N6" i="2"/>
  <c r="N5" i="2" s="1"/>
  <c r="N34" i="2"/>
  <c r="S47" i="2"/>
  <c r="R19" i="2"/>
  <c r="K23" i="2" l="1"/>
  <c r="L51" i="2"/>
  <c r="C21" i="6"/>
  <c r="P35" i="2" s="1"/>
  <c r="D18" i="6"/>
  <c r="K13" i="2"/>
  <c r="L39" i="2"/>
  <c r="O34" i="2"/>
  <c r="G9" i="7" s="1"/>
  <c r="G10" i="7"/>
  <c r="O6" i="2"/>
  <c r="O5" i="2" s="1"/>
  <c r="S19" i="2"/>
  <c r="T47" i="2"/>
  <c r="D21" i="6" l="1"/>
  <c r="Q35" i="2" s="1"/>
  <c r="E18" i="6"/>
  <c r="P34" i="2"/>
  <c r="H9" i="7" s="1"/>
  <c r="P6" i="2"/>
  <c r="P5" i="2" s="1"/>
  <c r="H10" i="7"/>
  <c r="M39" i="2"/>
  <c r="L13" i="2"/>
  <c r="M51" i="2"/>
  <c r="L23" i="2"/>
  <c r="I22" i="7"/>
  <c r="U47" i="2"/>
  <c r="T19" i="2"/>
  <c r="N51" i="2" l="1"/>
  <c r="M23" i="2"/>
  <c r="N39" i="2"/>
  <c r="M13" i="2"/>
  <c r="E21" i="6"/>
  <c r="R35" i="2" s="1"/>
  <c r="F18" i="6"/>
  <c r="Q34" i="2"/>
  <c r="Q6" i="2"/>
  <c r="Q5" i="2" s="1"/>
  <c r="J22" i="7"/>
  <c r="U19" i="2"/>
  <c r="V47" i="2"/>
  <c r="O51" i="2" l="1"/>
  <c r="N23" i="2"/>
  <c r="F21" i="6"/>
  <c r="S35" i="2" s="1"/>
  <c r="G18" i="6"/>
  <c r="R34" i="2"/>
  <c r="R6" i="2"/>
  <c r="R5" i="2" s="1"/>
  <c r="O39" i="2"/>
  <c r="N13" i="2"/>
  <c r="W47" i="2"/>
  <c r="V19" i="2"/>
  <c r="G21" i="6" l="1"/>
  <c r="T35" i="2" s="1"/>
  <c r="C23" i="6"/>
  <c r="G26" i="7"/>
  <c r="O23" i="2"/>
  <c r="P51" i="2"/>
  <c r="S34" i="2"/>
  <c r="S6" i="2"/>
  <c r="S5" i="2" s="1"/>
  <c r="P39" i="2"/>
  <c r="O13" i="2"/>
  <c r="G14" i="7"/>
  <c r="X47" i="2"/>
  <c r="W19" i="2"/>
  <c r="C26" i="6" l="1"/>
  <c r="U35" i="2" s="1"/>
  <c r="D23" i="6"/>
  <c r="P23" i="2"/>
  <c r="Q51" i="2"/>
  <c r="H26" i="7"/>
  <c r="I10" i="7"/>
  <c r="T6" i="2"/>
  <c r="T5" i="2" s="1"/>
  <c r="T34" i="2"/>
  <c r="I9" i="7" s="1"/>
  <c r="Q39" i="2"/>
  <c r="P13" i="2"/>
  <c r="H14" i="7"/>
  <c r="Y47" i="2"/>
  <c r="X19" i="2"/>
  <c r="J10" i="7" l="1"/>
  <c r="U34" i="2"/>
  <c r="J9" i="7" s="1"/>
  <c r="U6" i="2"/>
  <c r="U5" i="2" s="1"/>
  <c r="Q13" i="2"/>
  <c r="R39" i="2"/>
  <c r="R51" i="2"/>
  <c r="Q23" i="2"/>
  <c r="D26" i="6"/>
  <c r="V35" i="2" s="1"/>
  <c r="E23" i="6"/>
  <c r="K22" i="7"/>
  <c r="Y19" i="2"/>
  <c r="Z47" i="2"/>
  <c r="S51" i="2" l="1"/>
  <c r="R23" i="2"/>
  <c r="E26" i="6"/>
  <c r="W35" i="2" s="1"/>
  <c r="F23" i="6"/>
  <c r="S39" i="2"/>
  <c r="R13" i="2"/>
  <c r="V34" i="2"/>
  <c r="V6" i="2"/>
  <c r="V5" i="2" s="1"/>
  <c r="Z19" i="2"/>
  <c r="AA47" i="2"/>
  <c r="F26" i="6" l="1"/>
  <c r="X35" i="2" s="1"/>
  <c r="G23" i="6"/>
  <c r="W34" i="2"/>
  <c r="W6" i="2"/>
  <c r="W5" i="2" s="1"/>
  <c r="T39" i="2"/>
  <c r="S13" i="2"/>
  <c r="S23" i="2"/>
  <c r="T51" i="2"/>
  <c r="AB47" i="2"/>
  <c r="AA19" i="2"/>
  <c r="T23" i="2" l="1"/>
  <c r="I26" i="7"/>
  <c r="U51" i="2"/>
  <c r="X6" i="2"/>
  <c r="X5" i="2" s="1"/>
  <c r="X34" i="2"/>
  <c r="T13" i="2"/>
  <c r="I14" i="7"/>
  <c r="U39" i="2"/>
  <c r="G26" i="6"/>
  <c r="Y35" i="2" s="1"/>
  <c r="C28" i="6"/>
  <c r="AB19" i="2"/>
  <c r="AC47" i="2"/>
  <c r="V39" i="2" l="1"/>
  <c r="J14" i="7"/>
  <c r="U13" i="2"/>
  <c r="J26" i="7"/>
  <c r="U23" i="2"/>
  <c r="V51" i="2"/>
  <c r="C31" i="6"/>
  <c r="Z35" i="2" s="1"/>
  <c r="D28" i="6"/>
  <c r="Y34" i="2"/>
  <c r="K9" i="7" s="1"/>
  <c r="Y6" i="2"/>
  <c r="Y5" i="2" s="1"/>
  <c r="K10" i="7"/>
  <c r="AD47" i="2"/>
  <c r="AC19" i="2"/>
  <c r="E28" i="6" l="1"/>
  <c r="D31" i="6"/>
  <c r="AA35" i="2" s="1"/>
  <c r="Z6" i="2"/>
  <c r="Z5" i="2" s="1"/>
  <c r="Z34" i="2"/>
  <c r="W51" i="2"/>
  <c r="V23" i="2"/>
  <c r="V13" i="2"/>
  <c r="W39" i="2"/>
  <c r="L22" i="7"/>
  <c r="AD19" i="2"/>
  <c r="AE19" i="2" s="1"/>
  <c r="AE47" i="2"/>
  <c r="M22" i="7" s="1"/>
  <c r="F28" i="6" l="1"/>
  <c r="E31" i="6"/>
  <c r="AB35" i="2" s="1"/>
  <c r="X39" i="2"/>
  <c r="W13" i="2"/>
  <c r="W23" i="2"/>
  <c r="X51" i="2"/>
  <c r="AA6" i="2"/>
  <c r="AA5" i="2" s="1"/>
  <c r="AA34" i="2"/>
  <c r="Y51" i="2" l="1"/>
  <c r="X23" i="2"/>
  <c r="AB34" i="2"/>
  <c r="AB6" i="2"/>
  <c r="AB5" i="2" s="1"/>
  <c r="G28" i="6"/>
  <c r="G31" i="6" s="1"/>
  <c r="AD35" i="2" s="1"/>
  <c r="F31" i="6"/>
  <c r="Y39" i="2"/>
  <c r="X13" i="2"/>
  <c r="C33" i="6" l="1"/>
  <c r="D33" i="6" s="1"/>
  <c r="J28" i="6" s="1"/>
  <c r="AC35" i="2"/>
  <c r="C36" i="6"/>
  <c r="Y13" i="2"/>
  <c r="Z39" i="2"/>
  <c r="K14" i="7"/>
  <c r="L10" i="7"/>
  <c r="AD34" i="2"/>
  <c r="L9" i="7" s="1"/>
  <c r="AD6" i="2"/>
  <c r="AD5" i="2" s="1"/>
  <c r="Z51" i="2"/>
  <c r="Y23" i="2"/>
  <c r="K26" i="7"/>
  <c r="I28" i="6"/>
  <c r="K28" i="6" l="1"/>
  <c r="AA51" i="2"/>
  <c r="Z23" i="2"/>
  <c r="AA39" i="2"/>
  <c r="Z13" i="2"/>
  <c r="AC34" i="2"/>
  <c r="AE34" i="2" s="1"/>
  <c r="M9" i="7" s="1"/>
  <c r="AC6" i="2"/>
  <c r="AE35" i="2"/>
  <c r="M10" i="7" s="1"/>
  <c r="AB51" i="2" l="1"/>
  <c r="AA23" i="2"/>
  <c r="AC5" i="2"/>
  <c r="AE5" i="2" s="1"/>
  <c r="AE6" i="2"/>
  <c r="AA13" i="2"/>
  <c r="AB39" i="2"/>
  <c r="AC39" i="2" l="1"/>
  <c r="AB13" i="2"/>
  <c r="AC51" i="2"/>
  <c r="AB23" i="2"/>
  <c r="AC13" i="2" l="1"/>
  <c r="AD39" i="2"/>
  <c r="AC23" i="2"/>
  <c r="AD51" i="2"/>
  <c r="AE51" i="2" s="1"/>
  <c r="M26" i="7" s="1"/>
  <c r="AE39" i="2" l="1"/>
  <c r="M14" i="7" s="1"/>
  <c r="L14" i="7"/>
  <c r="AD13" i="2"/>
  <c r="AD23" i="2"/>
  <c r="AE23" i="2" s="1"/>
  <c r="L26" i="7"/>
  <c r="AE13" i="2" l="1"/>
  <c r="D53" i="1"/>
  <c r="C11" i="4"/>
  <c r="C23" i="4" s="1"/>
  <c r="F57" i="1" l="1"/>
  <c r="E23" i="4"/>
  <c r="G23" i="4" s="1"/>
  <c r="C24" i="4"/>
  <c r="F58" i="1" l="1"/>
  <c r="F62" i="1"/>
  <c r="E62" i="2" s="1"/>
  <c r="G57" i="1"/>
  <c r="E24" i="4"/>
  <c r="G24" i="4" s="1"/>
  <c r="K21" i="4" s="1"/>
  <c r="G44" i="2" s="1"/>
  <c r="C25" i="4"/>
  <c r="J21" i="4"/>
  <c r="F44" i="2" s="1"/>
  <c r="G16" i="2" l="1"/>
  <c r="F59" i="1"/>
  <c r="G59" i="1" s="1"/>
  <c r="E52" i="2"/>
  <c r="F64" i="1"/>
  <c r="F15" i="1" s="1"/>
  <c r="F46" i="2"/>
  <c r="F62" i="2" s="1"/>
  <c r="E25" i="4"/>
  <c r="G25" i="4" s="1"/>
  <c r="C26" i="4"/>
  <c r="E20" i="7"/>
  <c r="F16" i="2"/>
  <c r="D4" i="2" l="1"/>
  <c r="D32" i="2" s="1"/>
  <c r="D3" i="7" s="1"/>
  <c r="F16" i="1"/>
  <c r="G64" i="1"/>
  <c r="F10" i="2"/>
  <c r="AA11" i="2" s="1"/>
  <c r="C10" i="4"/>
  <c r="E21" i="7"/>
  <c r="G46" i="2"/>
  <c r="G62" i="2" s="1"/>
  <c r="F18" i="2"/>
  <c r="E26" i="4"/>
  <c r="G26" i="4" s="1"/>
  <c r="M21" i="4" s="1"/>
  <c r="I44" i="2" s="1"/>
  <c r="C27" i="4"/>
  <c r="L21" i="4"/>
  <c r="H44" i="2" s="1"/>
  <c r="I16" i="2" l="1"/>
  <c r="Z11" i="2"/>
  <c r="Y11" i="2"/>
  <c r="F4" i="3"/>
  <c r="D14" i="3"/>
  <c r="AC11" i="2"/>
  <c r="P11" i="2"/>
  <c r="I11" i="2"/>
  <c r="U11" i="2"/>
  <c r="K11" i="2"/>
  <c r="H11" i="2"/>
  <c r="M11" i="2"/>
  <c r="L11" i="2"/>
  <c r="Q11" i="2"/>
  <c r="T11" i="2"/>
  <c r="R11" i="2"/>
  <c r="G11" i="2"/>
  <c r="V11" i="2"/>
  <c r="J11" i="2"/>
  <c r="N11" i="2"/>
  <c r="F11" i="2"/>
  <c r="O11" i="2"/>
  <c r="AE10" i="2"/>
  <c r="S11" i="2"/>
  <c r="AB11" i="2"/>
  <c r="AD11" i="2"/>
  <c r="H46" i="2"/>
  <c r="H62" i="2" s="1"/>
  <c r="G18" i="2"/>
  <c r="D33" i="2"/>
  <c r="D4" i="7" s="1"/>
  <c r="E58" i="2"/>
  <c r="F4" i="2"/>
  <c r="AE4" i="2" s="1"/>
  <c r="X11" i="2"/>
  <c r="H16" i="2"/>
  <c r="E27" i="4"/>
  <c r="G27" i="4" s="1"/>
  <c r="C28" i="4"/>
  <c r="I46" i="2" l="1"/>
  <c r="I62" i="2" s="1"/>
  <c r="H18" i="2"/>
  <c r="F12" i="2"/>
  <c r="G65" i="3"/>
  <c r="G59" i="3"/>
  <c r="F80" i="3"/>
  <c r="F132" i="3"/>
  <c r="G132" i="3"/>
  <c r="G111" i="3"/>
  <c r="F62" i="3"/>
  <c r="G86" i="3"/>
  <c r="G135" i="3"/>
  <c r="F32" i="3"/>
  <c r="G120" i="3"/>
  <c r="G50" i="3"/>
  <c r="G113" i="3"/>
  <c r="F92" i="3"/>
  <c r="G128" i="3"/>
  <c r="F76" i="3"/>
  <c r="G82" i="3"/>
  <c r="F100" i="3"/>
  <c r="G102" i="3"/>
  <c r="F135" i="3"/>
  <c r="G62" i="3"/>
  <c r="F67" i="3"/>
  <c r="F52" i="3"/>
  <c r="F105" i="3"/>
  <c r="F56" i="3"/>
  <c r="F111" i="3"/>
  <c r="G26" i="3"/>
  <c r="G38" i="3"/>
  <c r="F58" i="3"/>
  <c r="F128" i="3"/>
  <c r="G53" i="3"/>
  <c r="G94" i="3"/>
  <c r="F23" i="3"/>
  <c r="G87" i="3"/>
  <c r="G51" i="3"/>
  <c r="F97" i="3"/>
  <c r="G18" i="3"/>
  <c r="G56" i="3"/>
  <c r="G60" i="3"/>
  <c r="F89" i="3"/>
  <c r="G108" i="3"/>
  <c r="G22" i="3"/>
  <c r="G78" i="3"/>
  <c r="F22" i="3"/>
  <c r="F137" i="3"/>
  <c r="O4" i="3"/>
  <c r="G109" i="3"/>
  <c r="F25" i="3"/>
  <c r="F86" i="3"/>
  <c r="F130" i="3"/>
  <c r="F87" i="3"/>
  <c r="F51" i="3"/>
  <c r="G75" i="3"/>
  <c r="G89" i="3"/>
  <c r="G136" i="3"/>
  <c r="F83" i="3"/>
  <c r="G122" i="3"/>
  <c r="G119" i="3"/>
  <c r="F118" i="3"/>
  <c r="G98" i="3"/>
  <c r="G79" i="3"/>
  <c r="F94" i="3"/>
  <c r="F31" i="3"/>
  <c r="G96" i="3"/>
  <c r="G93" i="3"/>
  <c r="F35" i="3"/>
  <c r="F24" i="3"/>
  <c r="F43" i="3"/>
  <c r="F48" i="3"/>
  <c r="F64" i="3"/>
  <c r="G66" i="3"/>
  <c r="F47" i="3"/>
  <c r="G72" i="3"/>
  <c r="F99" i="3"/>
  <c r="G126" i="3"/>
  <c r="F119" i="3"/>
  <c r="F85" i="3"/>
  <c r="G31" i="3"/>
  <c r="G35" i="3"/>
  <c r="G39" i="3"/>
  <c r="F65" i="3"/>
  <c r="F81" i="3"/>
  <c r="G44" i="3"/>
  <c r="F95" i="3"/>
  <c r="F131" i="3"/>
  <c r="G74" i="3"/>
  <c r="F82" i="3"/>
  <c r="F33" i="3"/>
  <c r="G20" i="3"/>
  <c r="G129" i="3"/>
  <c r="F70" i="3"/>
  <c r="F38" i="3"/>
  <c r="F18" i="3"/>
  <c r="F127" i="3"/>
  <c r="G95" i="3"/>
  <c r="F102" i="3"/>
  <c r="F46" i="3"/>
  <c r="G70" i="3"/>
  <c r="G55" i="3"/>
  <c r="F84" i="3"/>
  <c r="F29" i="3"/>
  <c r="G47" i="3"/>
  <c r="G77" i="3"/>
  <c r="G76" i="3"/>
  <c r="G85" i="3"/>
  <c r="F59" i="3"/>
  <c r="F60" i="3"/>
  <c r="G134" i="3"/>
  <c r="F116" i="3"/>
  <c r="F136" i="3"/>
  <c r="G127" i="3"/>
  <c r="G124" i="3"/>
  <c r="G54" i="3"/>
  <c r="G101" i="3"/>
  <c r="G81" i="3"/>
  <c r="F110" i="3"/>
  <c r="F120" i="3"/>
  <c r="F71" i="3"/>
  <c r="G123" i="3"/>
  <c r="F108" i="3"/>
  <c r="F74" i="3"/>
  <c r="F20" i="3"/>
  <c r="F34" i="3"/>
  <c r="F63" i="3"/>
  <c r="F37" i="3"/>
  <c r="F28" i="3"/>
  <c r="F91" i="3"/>
  <c r="F117" i="3"/>
  <c r="G103" i="3"/>
  <c r="G99" i="3"/>
  <c r="F98" i="3"/>
  <c r="F123" i="3"/>
  <c r="F124" i="3"/>
  <c r="F96" i="3"/>
  <c r="F101" i="3"/>
  <c r="G48" i="3"/>
  <c r="F66" i="3"/>
  <c r="F49" i="3"/>
  <c r="G84" i="3"/>
  <c r="G125" i="3"/>
  <c r="F121" i="3"/>
  <c r="G69" i="3"/>
  <c r="G112" i="3"/>
  <c r="G49" i="3"/>
  <c r="F112" i="3"/>
  <c r="F68" i="3"/>
  <c r="G27" i="3"/>
  <c r="F133" i="3"/>
  <c r="G88" i="3"/>
  <c r="G80" i="3"/>
  <c r="F126" i="3"/>
  <c r="G104" i="3"/>
  <c r="G67" i="3"/>
  <c r="G41" i="3"/>
  <c r="F77" i="3"/>
  <c r="G40" i="3"/>
  <c r="F55" i="3"/>
  <c r="F41" i="3"/>
  <c r="F90" i="3"/>
  <c r="G73" i="3"/>
  <c r="G97" i="3"/>
  <c r="F40" i="3"/>
  <c r="G100" i="3"/>
  <c r="G32" i="3"/>
  <c r="G137" i="3"/>
  <c r="F26" i="3"/>
  <c r="F50" i="3"/>
  <c r="G116" i="3"/>
  <c r="G30" i="3"/>
  <c r="F44" i="3"/>
  <c r="G29" i="3"/>
  <c r="F93" i="3"/>
  <c r="G33" i="3"/>
  <c r="G131" i="3"/>
  <c r="G71" i="3"/>
  <c r="F57" i="3"/>
  <c r="F78" i="3"/>
  <c r="F30" i="3"/>
  <c r="F21" i="3"/>
  <c r="G42" i="3"/>
  <c r="F69" i="3"/>
  <c r="F115" i="3"/>
  <c r="F103" i="3"/>
  <c r="G130" i="3"/>
  <c r="F125" i="3"/>
  <c r="G91" i="3"/>
  <c r="G63" i="3"/>
  <c r="G25" i="3"/>
  <c r="G24" i="3"/>
  <c r="F104" i="3"/>
  <c r="G92" i="3"/>
  <c r="F134" i="3"/>
  <c r="F129" i="3"/>
  <c r="G45" i="3"/>
  <c r="F36" i="3"/>
  <c r="F45" i="3"/>
  <c r="G61" i="3"/>
  <c r="G106" i="3"/>
  <c r="F107" i="3"/>
  <c r="F72" i="3"/>
  <c r="G68" i="3"/>
  <c r="F54" i="3"/>
  <c r="G19" i="3"/>
  <c r="F79" i="3"/>
  <c r="G117" i="3"/>
  <c r="G83" i="3"/>
  <c r="G28" i="3"/>
  <c r="G52" i="3"/>
  <c r="F109" i="3"/>
  <c r="G133" i="3"/>
  <c r="F113" i="3"/>
  <c r="F19" i="3"/>
  <c r="G110" i="3"/>
  <c r="F42" i="3"/>
  <c r="F61" i="3"/>
  <c r="F88" i="3"/>
  <c r="G46" i="3"/>
  <c r="F75" i="3"/>
  <c r="G37" i="3"/>
  <c r="F122" i="3"/>
  <c r="F114" i="3"/>
  <c r="G21" i="3"/>
  <c r="G107" i="3"/>
  <c r="G64" i="3"/>
  <c r="F27" i="3"/>
  <c r="G23" i="3"/>
  <c r="G36" i="3"/>
  <c r="F39" i="3"/>
  <c r="G58" i="3"/>
  <c r="F106" i="3"/>
  <c r="G114" i="3"/>
  <c r="G105" i="3"/>
  <c r="F53" i="3"/>
  <c r="F73" i="3"/>
  <c r="G57" i="3"/>
  <c r="G115" i="3"/>
  <c r="G121" i="3"/>
  <c r="G90" i="3"/>
  <c r="G118" i="3"/>
  <c r="G43" i="3"/>
  <c r="G34" i="3"/>
  <c r="C29" i="4"/>
  <c r="E28" i="4"/>
  <c r="G28" i="4" s="1"/>
  <c r="O21" i="4" s="1"/>
  <c r="K44" i="2" s="1"/>
  <c r="N21" i="4"/>
  <c r="J44" i="2" s="1"/>
  <c r="K16" i="2" l="1"/>
  <c r="H65" i="3"/>
  <c r="H120" i="3"/>
  <c r="H44" i="3"/>
  <c r="H51" i="3"/>
  <c r="H109" i="3"/>
  <c r="H50" i="3"/>
  <c r="H113" i="3"/>
  <c r="H134" i="3"/>
  <c r="H19" i="3"/>
  <c r="H53" i="3"/>
  <c r="H59" i="3"/>
  <c r="H39" i="3"/>
  <c r="H41" i="3"/>
  <c r="H73" i="3"/>
  <c r="H119" i="3"/>
  <c r="H87" i="3"/>
  <c r="H69" i="3"/>
  <c r="H123" i="3"/>
  <c r="H72" i="3"/>
  <c r="H40" i="3"/>
  <c r="H98" i="3"/>
  <c r="H122" i="3"/>
  <c r="H128" i="3"/>
  <c r="H26" i="3"/>
  <c r="H79" i="3"/>
  <c r="H38" i="3"/>
  <c r="H49" i="3"/>
  <c r="H96" i="3"/>
  <c r="H112" i="3"/>
  <c r="H27" i="3"/>
  <c r="H70" i="3"/>
  <c r="H93" i="3"/>
  <c r="H82" i="3"/>
  <c r="H75" i="3"/>
  <c r="H88" i="3"/>
  <c r="H108" i="3"/>
  <c r="H22" i="3"/>
  <c r="H135" i="3"/>
  <c r="H20" i="3"/>
  <c r="H129" i="3"/>
  <c r="H55" i="3"/>
  <c r="H106" i="3"/>
  <c r="H60" i="3"/>
  <c r="H110" i="3"/>
  <c r="H62" i="3"/>
  <c r="H85" i="3"/>
  <c r="H103" i="3"/>
  <c r="H68" i="3"/>
  <c r="H136" i="3"/>
  <c r="H99" i="3"/>
  <c r="H94" i="3"/>
  <c r="H111" i="3"/>
  <c r="H57" i="3"/>
  <c r="H117" i="3"/>
  <c r="H43" i="3"/>
  <c r="H83" i="3"/>
  <c r="H107" i="3"/>
  <c r="H126" i="3"/>
  <c r="I137" i="3"/>
  <c r="H91" i="3"/>
  <c r="H24" i="3"/>
  <c r="J89" i="3"/>
  <c r="J7" i="3" s="1"/>
  <c r="J113" i="3"/>
  <c r="L7" i="3" s="1"/>
  <c r="H28" i="3"/>
  <c r="H35" i="3"/>
  <c r="H100" i="3"/>
  <c r="H114" i="3"/>
  <c r="I125" i="3"/>
  <c r="H125" i="3"/>
  <c r="I77" i="3"/>
  <c r="H66" i="3"/>
  <c r="H37" i="3"/>
  <c r="J65" i="3"/>
  <c r="H7" i="3" s="1"/>
  <c r="H29" i="3"/>
  <c r="H58" i="3"/>
  <c r="H45" i="3"/>
  <c r="H133" i="3"/>
  <c r="H63" i="3"/>
  <c r="H84" i="3"/>
  <c r="H33" i="3"/>
  <c r="H89" i="3"/>
  <c r="H76" i="3"/>
  <c r="H132" i="3"/>
  <c r="J125" i="3"/>
  <c r="M7" i="3" s="1"/>
  <c r="H36" i="3"/>
  <c r="H90" i="3"/>
  <c r="I101" i="3"/>
  <c r="H101" i="3"/>
  <c r="H34" i="3"/>
  <c r="J137" i="3"/>
  <c r="N7" i="3" s="1"/>
  <c r="H31" i="3"/>
  <c r="H80" i="3"/>
  <c r="H130" i="3"/>
  <c r="H92" i="3"/>
  <c r="J41" i="3"/>
  <c r="F7" i="3" s="1"/>
  <c r="H124" i="3"/>
  <c r="H74" i="3"/>
  <c r="H116" i="3"/>
  <c r="H46" i="3"/>
  <c r="H131" i="3"/>
  <c r="H86" i="3"/>
  <c r="J29" i="3"/>
  <c r="H56" i="3"/>
  <c r="H115" i="3"/>
  <c r="J53" i="3"/>
  <c r="G7" i="3" s="1"/>
  <c r="H102" i="3"/>
  <c r="I113" i="3"/>
  <c r="H95" i="3"/>
  <c r="H47" i="3"/>
  <c r="H25" i="3"/>
  <c r="H97" i="3"/>
  <c r="H105" i="3"/>
  <c r="H61" i="3"/>
  <c r="H21" i="3"/>
  <c r="H77" i="3"/>
  <c r="J77" i="3"/>
  <c r="I7" i="3" s="1"/>
  <c r="H118" i="3"/>
  <c r="H52" i="3"/>
  <c r="G12" i="2"/>
  <c r="H12" i="2" s="1"/>
  <c r="I12" i="2" s="1"/>
  <c r="J12" i="2" s="1"/>
  <c r="K12" i="2" s="1"/>
  <c r="L12" i="2" s="1"/>
  <c r="M12" i="2" s="1"/>
  <c r="N12" i="2" s="1"/>
  <c r="O12" i="2" s="1"/>
  <c r="P12" i="2" s="1"/>
  <c r="Q12" i="2" s="1"/>
  <c r="R12" i="2" s="1"/>
  <c r="S12" i="2" s="1"/>
  <c r="T12" i="2" s="1"/>
  <c r="U12" i="2" s="1"/>
  <c r="V12" i="2" s="1"/>
  <c r="W11" i="2" s="1"/>
  <c r="AE11" i="2" s="1"/>
  <c r="J101" i="3"/>
  <c r="K7" i="3" s="1"/>
  <c r="H42" i="3"/>
  <c r="I53" i="3"/>
  <c r="I65" i="3"/>
  <c r="H54" i="3"/>
  <c r="H104" i="3"/>
  <c r="H30" i="3"/>
  <c r="I41" i="3"/>
  <c r="H71" i="3"/>
  <c r="H127" i="3"/>
  <c r="H81" i="3"/>
  <c r="H64" i="3"/>
  <c r="P32" i="3"/>
  <c r="P100" i="3"/>
  <c r="P44" i="3"/>
  <c r="P56" i="3"/>
  <c r="P82" i="3"/>
  <c r="P33" i="3"/>
  <c r="P77" i="3"/>
  <c r="P132" i="3"/>
  <c r="P73" i="3"/>
  <c r="P50" i="3"/>
  <c r="P97" i="3"/>
  <c r="P14" i="3"/>
  <c r="P21" i="3"/>
  <c r="P74" i="3"/>
  <c r="P64" i="3"/>
  <c r="P46" i="3"/>
  <c r="P38" i="3"/>
  <c r="P43" i="3"/>
  <c r="P18" i="3"/>
  <c r="P35" i="3"/>
  <c r="P91" i="3"/>
  <c r="P49" i="3"/>
  <c r="P70" i="3"/>
  <c r="P111" i="3"/>
  <c r="P127" i="3"/>
  <c r="P72" i="3"/>
  <c r="P69" i="3"/>
  <c r="P17" i="3"/>
  <c r="P63" i="3"/>
  <c r="P75" i="3"/>
  <c r="P122" i="3"/>
  <c r="P89" i="3"/>
  <c r="P110" i="3"/>
  <c r="P76" i="3"/>
  <c r="P92" i="3"/>
  <c r="P42" i="3"/>
  <c r="P120" i="3"/>
  <c r="P99" i="3"/>
  <c r="P118" i="3"/>
  <c r="P112" i="3"/>
  <c r="P24" i="3"/>
  <c r="O14" i="3"/>
  <c r="P45" i="3"/>
  <c r="P102" i="3"/>
  <c r="P48" i="3"/>
  <c r="P54" i="3"/>
  <c r="P94" i="3"/>
  <c r="P62" i="3"/>
  <c r="P66" i="3"/>
  <c r="P133" i="3"/>
  <c r="P123" i="3"/>
  <c r="P96" i="3"/>
  <c r="P67" i="3"/>
  <c r="P90" i="3"/>
  <c r="P16" i="3"/>
  <c r="P126" i="3"/>
  <c r="P29" i="3"/>
  <c r="P125" i="3"/>
  <c r="P52" i="3"/>
  <c r="P41" i="3"/>
  <c r="P34" i="3"/>
  <c r="P36" i="3"/>
  <c r="P65" i="3"/>
  <c r="P19" i="3"/>
  <c r="P88" i="3"/>
  <c r="P129" i="3"/>
  <c r="P27" i="3"/>
  <c r="P26" i="3"/>
  <c r="P59" i="3"/>
  <c r="P31" i="3"/>
  <c r="P60" i="3"/>
  <c r="P23" i="3"/>
  <c r="P15" i="3"/>
  <c r="P116" i="3"/>
  <c r="P51" i="3"/>
  <c r="P93" i="3"/>
  <c r="P109" i="3"/>
  <c r="P58" i="3"/>
  <c r="P85" i="3"/>
  <c r="P68" i="3"/>
  <c r="P80" i="3"/>
  <c r="P98" i="3"/>
  <c r="P95" i="3"/>
  <c r="P30" i="3"/>
  <c r="P131" i="3"/>
  <c r="P53" i="3"/>
  <c r="P71" i="3"/>
  <c r="P128" i="3"/>
  <c r="P78" i="3"/>
  <c r="P40" i="3"/>
  <c r="P107" i="3"/>
  <c r="P106" i="3"/>
  <c r="P47" i="3"/>
  <c r="P113" i="3"/>
  <c r="P119" i="3"/>
  <c r="P37" i="3"/>
  <c r="P61" i="3"/>
  <c r="P39" i="3"/>
  <c r="P130" i="3"/>
  <c r="P114" i="3"/>
  <c r="P81" i="3"/>
  <c r="P25" i="3"/>
  <c r="P86" i="3"/>
  <c r="P55" i="3"/>
  <c r="P87" i="3"/>
  <c r="P124" i="3"/>
  <c r="P105" i="3"/>
  <c r="P79" i="3"/>
  <c r="P108" i="3"/>
  <c r="P121" i="3"/>
  <c r="P115" i="3"/>
  <c r="P28" i="3"/>
  <c r="P103" i="3"/>
  <c r="P104" i="3"/>
  <c r="P101" i="3"/>
  <c r="P83" i="3"/>
  <c r="P22" i="3"/>
  <c r="P20" i="3"/>
  <c r="P57" i="3"/>
  <c r="P117" i="3"/>
  <c r="P84" i="3"/>
  <c r="H67" i="3"/>
  <c r="H32" i="3"/>
  <c r="I89" i="3"/>
  <c r="H78" i="3"/>
  <c r="H121" i="3"/>
  <c r="H18" i="3"/>
  <c r="I29" i="3"/>
  <c r="H48" i="3"/>
  <c r="H137" i="3"/>
  <c r="H23" i="3"/>
  <c r="J46" i="2"/>
  <c r="J62" i="2" s="1"/>
  <c r="I18" i="2"/>
  <c r="C30" i="4"/>
  <c r="E29" i="4"/>
  <c r="G29" i="4" s="1"/>
  <c r="P21" i="4" s="1"/>
  <c r="L44" i="2" s="1"/>
  <c r="F20" i="7"/>
  <c r="J16" i="2"/>
  <c r="L16" i="2" l="1"/>
  <c r="H8" i="3"/>
  <c r="K65" i="3"/>
  <c r="K53" i="3"/>
  <c r="G8" i="3"/>
  <c r="K8" i="3"/>
  <c r="K101" i="3"/>
  <c r="T85" i="3"/>
  <c r="F21" i="7"/>
  <c r="K46" i="2"/>
  <c r="K62" i="2" s="1"/>
  <c r="J18" i="2"/>
  <c r="T73" i="3"/>
  <c r="Q14" i="3"/>
  <c r="T25" i="3"/>
  <c r="AE12" i="2"/>
  <c r="K113" i="3"/>
  <c r="L8" i="3"/>
  <c r="K137" i="3"/>
  <c r="N8" i="3"/>
  <c r="T61" i="3"/>
  <c r="K77" i="3"/>
  <c r="I8" i="3"/>
  <c r="T121" i="3"/>
  <c r="E8" i="3"/>
  <c r="I198" i="3"/>
  <c r="K29" i="3"/>
  <c r="T37" i="3"/>
  <c r="F8" i="3"/>
  <c r="K41" i="3"/>
  <c r="K125" i="3"/>
  <c r="M8" i="3"/>
  <c r="T133" i="3"/>
  <c r="T109" i="3"/>
  <c r="T97" i="3"/>
  <c r="R14" i="3"/>
  <c r="J198" i="3"/>
  <c r="E7" i="3"/>
  <c r="K89" i="3"/>
  <c r="J8" i="3"/>
  <c r="T49" i="3"/>
  <c r="E30" i="4"/>
  <c r="G30" i="4" s="1"/>
  <c r="Q21" i="4" s="1"/>
  <c r="M44" i="2" s="1"/>
  <c r="C31" i="4"/>
  <c r="M16" i="2" l="1"/>
  <c r="K9" i="3"/>
  <c r="L40" i="2"/>
  <c r="L46" i="2"/>
  <c r="L62" i="2" s="1"/>
  <c r="K18" i="2"/>
  <c r="J40" i="2"/>
  <c r="I9" i="3"/>
  <c r="J9" i="3"/>
  <c r="K40" i="2"/>
  <c r="Q15" i="3"/>
  <c r="O15" i="3"/>
  <c r="R15" i="3" s="1"/>
  <c r="N40" i="2"/>
  <c r="M9" i="3"/>
  <c r="H9" i="3"/>
  <c r="I40" i="2"/>
  <c r="H40" i="2"/>
  <c r="G9" i="3"/>
  <c r="L9" i="3"/>
  <c r="M40" i="2"/>
  <c r="O40" i="2"/>
  <c r="N9" i="3"/>
  <c r="F9" i="3"/>
  <c r="G40" i="2"/>
  <c r="K198" i="3"/>
  <c r="E9" i="3"/>
  <c r="T194" i="3"/>
  <c r="F40" i="2"/>
  <c r="E31" i="4"/>
  <c r="G31" i="4" s="1"/>
  <c r="R21" i="4" s="1"/>
  <c r="N44" i="2" s="1"/>
  <c r="C32" i="4"/>
  <c r="N16" i="2" l="1"/>
  <c r="G15" i="7"/>
  <c r="F15" i="7"/>
  <c r="Q16" i="3"/>
  <c r="O16" i="3"/>
  <c r="R16" i="3" s="1"/>
  <c r="M46" i="2"/>
  <c r="M62" i="2" s="1"/>
  <c r="L18" i="2"/>
  <c r="AE40" i="2"/>
  <c r="M15" i="7" s="1"/>
  <c r="E15" i="7"/>
  <c r="C33" i="4"/>
  <c r="E32" i="4"/>
  <c r="G32" i="4" s="1"/>
  <c r="S21" i="4" s="1"/>
  <c r="O44" i="2" s="1"/>
  <c r="E18" i="7" l="1"/>
  <c r="M18" i="2"/>
  <c r="N46" i="2"/>
  <c r="N62" i="2" s="1"/>
  <c r="O17" i="3"/>
  <c r="R17" i="3" s="1"/>
  <c r="Q17" i="3"/>
  <c r="G20" i="7"/>
  <c r="O16" i="2"/>
  <c r="E33" i="4"/>
  <c r="G33" i="4" s="1"/>
  <c r="T21" i="4" s="1"/>
  <c r="P44" i="2" s="1"/>
  <c r="C34" i="4"/>
  <c r="F18" i="7" l="1"/>
  <c r="Q18" i="3"/>
  <c r="O18" i="3"/>
  <c r="R18" i="3" s="1"/>
  <c r="N18" i="2"/>
  <c r="O46" i="2"/>
  <c r="O62" i="2" s="1"/>
  <c r="H20" i="7"/>
  <c r="P16" i="2"/>
  <c r="E34" i="4"/>
  <c r="G34" i="4" s="1"/>
  <c r="U21" i="4" s="1"/>
  <c r="Q44" i="2" s="1"/>
  <c r="C35" i="4"/>
  <c r="Q16" i="2" l="1"/>
  <c r="G18" i="7"/>
  <c r="P46" i="2"/>
  <c r="P62" i="2" s="1"/>
  <c r="O18" i="2"/>
  <c r="G21" i="7"/>
  <c r="O19" i="3"/>
  <c r="R19" i="3" s="1"/>
  <c r="Q19" i="3"/>
  <c r="E35" i="4"/>
  <c r="G35" i="4" s="1"/>
  <c r="V21" i="4" s="1"/>
  <c r="R44" i="2" s="1"/>
  <c r="C36" i="4"/>
  <c r="R16" i="2" l="1"/>
  <c r="Q20" i="3"/>
  <c r="O20" i="3"/>
  <c r="R20" i="3" s="1"/>
  <c r="Q46" i="2"/>
  <c r="Q62" i="2" s="1"/>
  <c r="P18" i="2"/>
  <c r="H21" i="7"/>
  <c r="H18" i="7"/>
  <c r="E36" i="4"/>
  <c r="G36" i="4" s="1"/>
  <c r="W21" i="4" s="1"/>
  <c r="S44" i="2" s="1"/>
  <c r="C37" i="4"/>
  <c r="S16" i="2" l="1"/>
  <c r="I18" i="7"/>
  <c r="Q18" i="2"/>
  <c r="R46" i="2"/>
  <c r="R62" i="2" s="1"/>
  <c r="Q21" i="3"/>
  <c r="O21" i="3"/>
  <c r="R21" i="3" s="1"/>
  <c r="E37" i="4"/>
  <c r="G37" i="4" s="1"/>
  <c r="X21" i="4" s="1"/>
  <c r="T44" i="2" s="1"/>
  <c r="C38" i="4"/>
  <c r="O22" i="3" l="1"/>
  <c r="R22" i="3" s="1"/>
  <c r="Q22" i="3"/>
  <c r="R18" i="2"/>
  <c r="S46" i="2"/>
  <c r="S62" i="2" s="1"/>
  <c r="J18" i="7"/>
  <c r="E38" i="4"/>
  <c r="G38" i="4" s="1"/>
  <c r="Y21" i="4" s="1"/>
  <c r="U44" i="2" s="1"/>
  <c r="C39" i="4"/>
  <c r="I20" i="7"/>
  <c r="T16" i="2"/>
  <c r="Q23" i="3" l="1"/>
  <c r="O23" i="3"/>
  <c r="R23" i="3" s="1"/>
  <c r="S18" i="2"/>
  <c r="T46" i="2"/>
  <c r="T62" i="2" s="1"/>
  <c r="E39" i="4"/>
  <c r="G39" i="4" s="1"/>
  <c r="Z21" i="4" s="1"/>
  <c r="V44" i="2" s="1"/>
  <c r="C40" i="4"/>
  <c r="U16" i="2"/>
  <c r="J20" i="7"/>
  <c r="U46" i="2" l="1"/>
  <c r="T18" i="2"/>
  <c r="I21" i="7"/>
  <c r="Q24" i="3"/>
  <c r="O24" i="3"/>
  <c r="R24" i="3" s="1"/>
  <c r="E40" i="4"/>
  <c r="G40" i="4" s="1"/>
  <c r="AA21" i="4" s="1"/>
  <c r="W44" i="2" s="1"/>
  <c r="C41" i="4"/>
  <c r="V16" i="2"/>
  <c r="U38" i="2" l="1"/>
  <c r="U62" i="2"/>
  <c r="Q25" i="3"/>
  <c r="O25" i="3"/>
  <c r="J21" i="7"/>
  <c r="U18" i="2"/>
  <c r="U9" i="2" s="1"/>
  <c r="U24" i="2" s="1"/>
  <c r="V46" i="2"/>
  <c r="E41" i="4"/>
  <c r="G41" i="4" s="1"/>
  <c r="AB21" i="4" s="1"/>
  <c r="X44" i="2" s="1"/>
  <c r="C42" i="4"/>
  <c r="W16" i="2"/>
  <c r="V38" i="2" l="1"/>
  <c r="V62" i="2"/>
  <c r="K18" i="7"/>
  <c r="S25" i="3"/>
  <c r="R25" i="3"/>
  <c r="V18" i="2"/>
  <c r="V9" i="2" s="1"/>
  <c r="V24" i="2" s="1"/>
  <c r="W46" i="2"/>
  <c r="V52" i="2"/>
  <c r="V60" i="2" s="1"/>
  <c r="O26" i="3"/>
  <c r="R26" i="3" s="1"/>
  <c r="Q26" i="3"/>
  <c r="U52" i="2"/>
  <c r="J13" i="7"/>
  <c r="U26" i="2"/>
  <c r="U55" i="2" s="1"/>
  <c r="U25" i="2"/>
  <c r="E42" i="4"/>
  <c r="G42" i="4" s="1"/>
  <c r="C43" i="4"/>
  <c r="X16" i="2"/>
  <c r="W38" i="2" l="1"/>
  <c r="W52" i="2" s="1"/>
  <c r="W60" i="2" s="1"/>
  <c r="W62" i="2"/>
  <c r="AC21" i="4"/>
  <c r="Y44" i="2" s="1"/>
  <c r="G48" i="4"/>
  <c r="G49" i="4" s="1"/>
  <c r="J27" i="7"/>
  <c r="U60" i="2"/>
  <c r="J32" i="7" s="1"/>
  <c r="W18" i="2"/>
  <c r="W9" i="2" s="1"/>
  <c r="W24" i="2" s="1"/>
  <c r="X46" i="2"/>
  <c r="U54" i="2"/>
  <c r="U27" i="2"/>
  <c r="Q27" i="3"/>
  <c r="O27" i="3"/>
  <c r="R27" i="3" s="1"/>
  <c r="V25" i="2"/>
  <c r="V26" i="2"/>
  <c r="V55" i="2" s="1"/>
  <c r="F41" i="2"/>
  <c r="U25" i="3"/>
  <c r="E10" i="3"/>
  <c r="C44" i="4"/>
  <c r="E43" i="4"/>
  <c r="G43" i="4" s="1"/>
  <c r="AD21" i="4" s="1"/>
  <c r="Z44" i="2" s="1"/>
  <c r="X38" i="2" l="1"/>
  <c r="X52" i="2" s="1"/>
  <c r="X60" i="2" s="1"/>
  <c r="X62" i="2"/>
  <c r="K20" i="7"/>
  <c r="Y16" i="2"/>
  <c r="F38" i="2"/>
  <c r="D34" i="2" s="1"/>
  <c r="D51" i="2"/>
  <c r="U57" i="2"/>
  <c r="U56" i="2"/>
  <c r="J29" i="7"/>
  <c r="Q28" i="3"/>
  <c r="O28" i="3"/>
  <c r="R28" i="3" s="1"/>
  <c r="W25" i="2"/>
  <c r="W26" i="2"/>
  <c r="W55" i="2" s="1"/>
  <c r="V54" i="2"/>
  <c r="V27" i="2"/>
  <c r="X18" i="2"/>
  <c r="X9" i="2" s="1"/>
  <c r="X24" i="2" s="1"/>
  <c r="Y46" i="2"/>
  <c r="Y38" i="2" s="1"/>
  <c r="E16" i="7"/>
  <c r="E17" i="7"/>
  <c r="F14" i="2"/>
  <c r="F9" i="2" s="1"/>
  <c r="E44" i="4"/>
  <c r="G44" i="4" s="1"/>
  <c r="AE21" i="4" s="1"/>
  <c r="AA44" i="2" s="1"/>
  <c r="C45" i="4"/>
  <c r="Z16" i="2"/>
  <c r="Y62" i="2" l="1"/>
  <c r="F24" i="2"/>
  <c r="F26" i="2" s="1"/>
  <c r="F55" i="2" s="1"/>
  <c r="U58" i="2"/>
  <c r="J30" i="7" s="1"/>
  <c r="X25" i="2"/>
  <c r="X54" i="2" s="1"/>
  <c r="X26" i="2"/>
  <c r="X55" i="2" s="1"/>
  <c r="Q29" i="3"/>
  <c r="O29" i="3"/>
  <c r="R29" i="3" s="1"/>
  <c r="K21" i="7"/>
  <c r="Z46" i="2"/>
  <c r="Y18" i="2"/>
  <c r="Y9" i="2" s="1"/>
  <c r="Y24" i="2" s="1"/>
  <c r="V57" i="2"/>
  <c r="V56" i="2"/>
  <c r="W54" i="2"/>
  <c r="W27" i="2"/>
  <c r="C46" i="4"/>
  <c r="E45" i="4"/>
  <c r="G45" i="4" s="1"/>
  <c r="AF21" i="4" s="1"/>
  <c r="AB44" i="2" s="1"/>
  <c r="AA16" i="2"/>
  <c r="Z38" i="2" l="1"/>
  <c r="Z52" i="2" s="1"/>
  <c r="Z60" i="2" s="1"/>
  <c r="Z62" i="2"/>
  <c r="F25" i="2"/>
  <c r="F27" i="2" s="1"/>
  <c r="F28" i="2" s="1"/>
  <c r="X27" i="2"/>
  <c r="V58" i="2"/>
  <c r="Y26" i="2"/>
  <c r="Y55" i="2" s="1"/>
  <c r="Y25" i="2"/>
  <c r="Y54" i="2" s="1"/>
  <c r="E13" i="7"/>
  <c r="F52" i="2"/>
  <c r="Q30" i="3"/>
  <c r="O30" i="3"/>
  <c r="R30" i="3" s="1"/>
  <c r="K13" i="7"/>
  <c r="Y52" i="2"/>
  <c r="AA46" i="2"/>
  <c r="Z18" i="2"/>
  <c r="Z9" i="2" s="1"/>
  <c r="Z24" i="2" s="1"/>
  <c r="W57" i="2"/>
  <c r="W56" i="2"/>
  <c r="X57" i="2"/>
  <c r="X56" i="2"/>
  <c r="AB16" i="2"/>
  <c r="E46" i="4"/>
  <c r="G46" i="4" s="1"/>
  <c r="AG21" i="4" s="1"/>
  <c r="AC44" i="2" s="1"/>
  <c r="C47" i="4"/>
  <c r="E47" i="4" s="1"/>
  <c r="G47" i="4" s="1"/>
  <c r="AA38" i="2" l="1"/>
  <c r="AA62" i="2"/>
  <c r="L18" i="7"/>
  <c r="M18" i="7"/>
  <c r="F54" i="2"/>
  <c r="E29" i="7" s="1"/>
  <c r="X58" i="2"/>
  <c r="W58" i="2"/>
  <c r="AA18" i="2"/>
  <c r="AA9" i="2" s="1"/>
  <c r="AA24" i="2" s="1"/>
  <c r="AB46" i="2"/>
  <c r="AA52" i="2"/>
  <c r="AA60" i="2" s="1"/>
  <c r="K27" i="7"/>
  <c r="Y60" i="2"/>
  <c r="K32" i="7" s="1"/>
  <c r="F53" i="2"/>
  <c r="E28" i="7" s="1"/>
  <c r="F60" i="2"/>
  <c r="E32" i="7" s="1"/>
  <c r="E27" i="7"/>
  <c r="Y57" i="2"/>
  <c r="K29" i="7"/>
  <c r="Y56" i="2"/>
  <c r="Z26" i="2"/>
  <c r="Z55" i="2" s="1"/>
  <c r="Z25" i="2"/>
  <c r="Z54" i="2" s="1"/>
  <c r="O31" i="3"/>
  <c r="R31" i="3" s="1"/>
  <c r="Q31" i="3"/>
  <c r="Y27" i="2"/>
  <c r="AC16" i="2"/>
  <c r="AH21" i="4"/>
  <c r="AD44" i="2" s="1"/>
  <c r="AB38" i="2" l="1"/>
  <c r="AB62" i="2"/>
  <c r="F57" i="2"/>
  <c r="F56" i="2"/>
  <c r="AB18" i="2"/>
  <c r="AB9" i="2" s="1"/>
  <c r="AB24" i="2" s="1"/>
  <c r="AC46" i="2"/>
  <c r="AB52" i="2"/>
  <c r="AB60" i="2" s="1"/>
  <c r="AA26" i="2"/>
  <c r="AA55" i="2" s="1"/>
  <c r="AA25" i="2"/>
  <c r="AA54" i="2" s="1"/>
  <c r="O32" i="3"/>
  <c r="R32" i="3" s="1"/>
  <c r="Q32" i="3"/>
  <c r="Z56" i="2"/>
  <c r="Z57" i="2"/>
  <c r="Y58" i="2"/>
  <c r="K30" i="7" s="1"/>
  <c r="Z27" i="2"/>
  <c r="AD16" i="2"/>
  <c r="L20" i="7"/>
  <c r="AE44" i="2"/>
  <c r="M20" i="7" s="1"/>
  <c r="AC38" i="2" l="1"/>
  <c r="AC62" i="2"/>
  <c r="F58" i="2"/>
  <c r="E30" i="7" s="1"/>
  <c r="AA27" i="2"/>
  <c r="Z58" i="2"/>
  <c r="Q33" i="3"/>
  <c r="O33" i="3"/>
  <c r="R33" i="3" s="1"/>
  <c r="AC18" i="2"/>
  <c r="AC9" i="2" s="1"/>
  <c r="AC24" i="2" s="1"/>
  <c r="AD46" i="2"/>
  <c r="AD62" i="2" s="1"/>
  <c r="D62" i="2" s="1"/>
  <c r="AC52" i="2"/>
  <c r="AC60" i="2" s="1"/>
  <c r="AB25" i="2"/>
  <c r="AB26" i="2"/>
  <c r="AB55" i="2" s="1"/>
  <c r="AA57" i="2"/>
  <c r="AA56" i="2"/>
  <c r="AE16" i="2"/>
  <c r="F59" i="2" l="1"/>
  <c r="E31" i="7" s="1"/>
  <c r="AE62" i="2"/>
  <c r="AE46" i="2"/>
  <c r="M21" i="7" s="1"/>
  <c r="AD38" i="2"/>
  <c r="AA58" i="2"/>
  <c r="AB54" i="2"/>
  <c r="AB27" i="2"/>
  <c r="L21" i="7"/>
  <c r="AD18" i="2"/>
  <c r="AC26" i="2"/>
  <c r="AC55" i="2" s="1"/>
  <c r="AC25" i="2"/>
  <c r="O34" i="3"/>
  <c r="R34" i="3" s="1"/>
  <c r="Q34" i="3"/>
  <c r="AC54" i="2" l="1"/>
  <c r="AC27" i="2"/>
  <c r="O35" i="3"/>
  <c r="R35" i="3" s="1"/>
  <c r="Q35" i="3"/>
  <c r="AE18" i="2"/>
  <c r="AD9" i="2"/>
  <c r="AD24" i="2" s="1"/>
  <c r="L13" i="7"/>
  <c r="AD52" i="2"/>
  <c r="AB56" i="2"/>
  <c r="AB57" i="2"/>
  <c r="AB58" i="2" l="1"/>
  <c r="AD25" i="2"/>
  <c r="AD54" i="2" s="1"/>
  <c r="AD26" i="2"/>
  <c r="AD55" i="2" s="1"/>
  <c r="L27" i="7"/>
  <c r="AD60" i="2"/>
  <c r="L32" i="7" s="1"/>
  <c r="Q36" i="3"/>
  <c r="O36" i="3"/>
  <c r="R36" i="3" s="1"/>
  <c r="AC57" i="2"/>
  <c r="AC56" i="2"/>
  <c r="AD27" i="2" l="1"/>
  <c r="AC58" i="2"/>
  <c r="Q37" i="3"/>
  <c r="O37" i="3"/>
  <c r="R37" i="3" s="1"/>
  <c r="AD56" i="2"/>
  <c r="L29" i="7"/>
  <c r="AD57" i="2"/>
  <c r="AD58" i="2" l="1"/>
  <c r="L30" i="7" s="1"/>
  <c r="S37" i="3"/>
  <c r="O38" i="3"/>
  <c r="R38" i="3" s="1"/>
  <c r="Q38" i="3"/>
  <c r="G41" i="2" l="1"/>
  <c r="G38" i="2" s="1"/>
  <c r="F10" i="3"/>
  <c r="U37" i="3"/>
  <c r="Q39" i="3"/>
  <c r="O39" i="3"/>
  <c r="R39" i="3" s="1"/>
  <c r="O40" i="3" l="1"/>
  <c r="R40" i="3" s="1"/>
  <c r="Q40" i="3"/>
  <c r="G14" i="2"/>
  <c r="G9" i="2" s="1"/>
  <c r="G52" i="2" l="1"/>
  <c r="G24" i="2"/>
  <c r="G26" i="2" s="1"/>
  <c r="G55" i="2" s="1"/>
  <c r="O41" i="3"/>
  <c r="R41" i="3" s="1"/>
  <c r="Q41" i="3"/>
  <c r="G53" i="2" l="1"/>
  <c r="G60" i="2"/>
  <c r="G25" i="2"/>
  <c r="G27" i="2" s="1"/>
  <c r="G28" i="2"/>
  <c r="Q42" i="3"/>
  <c r="O42" i="3"/>
  <c r="R42" i="3" s="1"/>
  <c r="G54" i="2" l="1"/>
  <c r="G57" i="2" s="1"/>
  <c r="Q43" i="3"/>
  <c r="O43" i="3"/>
  <c r="R43" i="3" s="1"/>
  <c r="G56" i="2" l="1"/>
  <c r="G58" i="2" s="1"/>
  <c r="G59" i="2" s="1"/>
  <c r="O44" i="3"/>
  <c r="R44" i="3" s="1"/>
  <c r="Q44" i="3"/>
  <c r="O45" i="3" l="1"/>
  <c r="R45" i="3" s="1"/>
  <c r="Q45" i="3"/>
  <c r="O46" i="3" l="1"/>
  <c r="R46" i="3" s="1"/>
  <c r="Q46" i="3"/>
  <c r="O47" i="3" l="1"/>
  <c r="R47" i="3" s="1"/>
  <c r="Q47" i="3"/>
  <c r="Q48" i="3" l="1"/>
  <c r="O48" i="3"/>
  <c r="R48" i="3" s="1"/>
  <c r="O49" i="3" l="1"/>
  <c r="Q49" i="3"/>
  <c r="Q50" i="3" l="1"/>
  <c r="O50" i="3"/>
  <c r="R50" i="3" s="1"/>
  <c r="R49" i="3"/>
  <c r="S49" i="3"/>
  <c r="U49" i="3" l="1"/>
  <c r="H41" i="2"/>
  <c r="H38" i="2" s="1"/>
  <c r="G10" i="3"/>
  <c r="O51" i="3"/>
  <c r="R51" i="3" s="1"/>
  <c r="Q51" i="3"/>
  <c r="O52" i="3" l="1"/>
  <c r="R52" i="3" s="1"/>
  <c r="Q52" i="3"/>
  <c r="H14" i="2"/>
  <c r="H9" i="2" s="1"/>
  <c r="H52" i="2" l="1"/>
  <c r="H24" i="2"/>
  <c r="H26" i="2" s="1"/>
  <c r="H55" i="2" s="1"/>
  <c r="Q53" i="3"/>
  <c r="O53" i="3"/>
  <c r="R53" i="3" s="1"/>
  <c r="H60" i="2" l="1"/>
  <c r="H25" i="2"/>
  <c r="H27" i="2" s="1"/>
  <c r="H53" i="2"/>
  <c r="H28" i="2"/>
  <c r="O54" i="3"/>
  <c r="R54" i="3" s="1"/>
  <c r="Q54" i="3"/>
  <c r="H54" i="2" l="1"/>
  <c r="H56" i="2" s="1"/>
  <c r="O55" i="3"/>
  <c r="R55" i="3" s="1"/>
  <c r="Q55" i="3"/>
  <c r="H57" i="2" l="1"/>
  <c r="H58" i="2" s="1"/>
  <c r="H59" i="2" s="1"/>
  <c r="Q56" i="3"/>
  <c r="O56" i="3"/>
  <c r="R56" i="3" s="1"/>
  <c r="O57" i="3" l="1"/>
  <c r="R57" i="3" s="1"/>
  <c r="Q57" i="3"/>
  <c r="O58" i="3" l="1"/>
  <c r="R58" i="3" s="1"/>
  <c r="Q58" i="3"/>
  <c r="O59" i="3" l="1"/>
  <c r="R59" i="3" s="1"/>
  <c r="Q59" i="3"/>
  <c r="O60" i="3" l="1"/>
  <c r="R60" i="3" s="1"/>
  <c r="Q60" i="3"/>
  <c r="O61" i="3" l="1"/>
  <c r="Q61" i="3"/>
  <c r="O62" i="3" l="1"/>
  <c r="R62" i="3" s="1"/>
  <c r="Q62" i="3"/>
  <c r="R61" i="3"/>
  <c r="S61" i="3"/>
  <c r="U61" i="3" l="1"/>
  <c r="H10" i="3"/>
  <c r="I41" i="2"/>
  <c r="I38" i="2" s="1"/>
  <c r="Q63" i="3"/>
  <c r="O63" i="3"/>
  <c r="R63" i="3" s="1"/>
  <c r="O64" i="3" l="1"/>
  <c r="R64" i="3" s="1"/>
  <c r="Q64" i="3"/>
  <c r="I14" i="2"/>
  <c r="I9" i="2" s="1"/>
  <c r="I52" i="2" l="1"/>
  <c r="I24" i="2"/>
  <c r="I26" i="2" s="1"/>
  <c r="I55" i="2" s="1"/>
  <c r="O65" i="3"/>
  <c r="R65" i="3" s="1"/>
  <c r="Q65" i="3"/>
  <c r="I60" i="2" l="1"/>
  <c r="I28" i="2"/>
  <c r="I25" i="2"/>
  <c r="I54" i="2" s="1"/>
  <c r="I53" i="2"/>
  <c r="O66" i="3"/>
  <c r="R66" i="3" s="1"/>
  <c r="Q66" i="3"/>
  <c r="I27" i="2" l="1"/>
  <c r="O67" i="3"/>
  <c r="R67" i="3" s="1"/>
  <c r="Q67" i="3"/>
  <c r="I56" i="2"/>
  <c r="I57" i="2"/>
  <c r="I58" i="2" l="1"/>
  <c r="I59" i="2" s="1"/>
  <c r="Q68" i="3"/>
  <c r="O68" i="3"/>
  <c r="R68" i="3" s="1"/>
  <c r="O69" i="3" l="1"/>
  <c r="R69" i="3" s="1"/>
  <c r="Q69" i="3"/>
  <c r="O70" i="3" l="1"/>
  <c r="R70" i="3" s="1"/>
  <c r="Q70" i="3"/>
  <c r="O71" i="3" l="1"/>
  <c r="R71" i="3" s="1"/>
  <c r="Q71" i="3"/>
  <c r="O72" i="3" l="1"/>
  <c r="R72" i="3" s="1"/>
  <c r="Q72" i="3"/>
  <c r="O73" i="3" l="1"/>
  <c r="Q73" i="3"/>
  <c r="O74" i="3" l="1"/>
  <c r="R74" i="3" s="1"/>
  <c r="Q74" i="3"/>
  <c r="R73" i="3"/>
  <c r="S73" i="3"/>
  <c r="Q75" i="3" l="1"/>
  <c r="O75" i="3"/>
  <c r="R75" i="3" s="1"/>
  <c r="I10" i="3"/>
  <c r="J41" i="2"/>
  <c r="J38" i="2" s="1"/>
  <c r="U73" i="3"/>
  <c r="F16" i="7" l="1"/>
  <c r="F17" i="7"/>
  <c r="J14" i="2"/>
  <c r="J9" i="2" s="1"/>
  <c r="O76" i="3"/>
  <c r="R76" i="3" s="1"/>
  <c r="Q76" i="3"/>
  <c r="J52" i="2" l="1"/>
  <c r="J24" i="2"/>
  <c r="J26" i="2" s="1"/>
  <c r="J55" i="2" s="1"/>
  <c r="Q77" i="3"/>
  <c r="O77" i="3"/>
  <c r="R77" i="3" s="1"/>
  <c r="J25" i="2" l="1"/>
  <c r="J27" i="2" s="1"/>
  <c r="J28" i="2"/>
  <c r="F13" i="7"/>
  <c r="O78" i="3"/>
  <c r="R78" i="3" s="1"/>
  <c r="Q78" i="3"/>
  <c r="F27" i="7"/>
  <c r="J53" i="2"/>
  <c r="F28" i="7" s="1"/>
  <c r="J60" i="2"/>
  <c r="F32" i="7" s="1"/>
  <c r="J54" i="2" l="1"/>
  <c r="F29" i="7" s="1"/>
  <c r="Q79" i="3"/>
  <c r="O79" i="3"/>
  <c r="R79" i="3" s="1"/>
  <c r="J56" i="2" l="1"/>
  <c r="J57" i="2"/>
  <c r="Q80" i="3"/>
  <c r="O80" i="3"/>
  <c r="R80" i="3" s="1"/>
  <c r="J58" i="2" l="1"/>
  <c r="F30" i="7" s="1"/>
  <c r="O81" i="3"/>
  <c r="R81" i="3" s="1"/>
  <c r="Q81" i="3"/>
  <c r="J59" i="2" l="1"/>
  <c r="F31" i="7" s="1"/>
  <c r="O82" i="3"/>
  <c r="R82" i="3" s="1"/>
  <c r="Q82" i="3"/>
  <c r="O83" i="3" l="1"/>
  <c r="R83" i="3" s="1"/>
  <c r="Q83" i="3"/>
  <c r="Q84" i="3" l="1"/>
  <c r="O84" i="3"/>
  <c r="R84" i="3" s="1"/>
  <c r="O85" i="3" l="1"/>
  <c r="Q85" i="3"/>
  <c r="O86" i="3" l="1"/>
  <c r="R86" i="3" s="1"/>
  <c r="Q86" i="3"/>
  <c r="R85" i="3"/>
  <c r="S85" i="3"/>
  <c r="K41" i="2" l="1"/>
  <c r="K38" i="2" s="1"/>
  <c r="U85" i="3"/>
  <c r="J10" i="3"/>
  <c r="O87" i="3"/>
  <c r="R87" i="3" s="1"/>
  <c r="Q87" i="3"/>
  <c r="Q88" i="3" l="1"/>
  <c r="O88" i="3"/>
  <c r="R88" i="3" s="1"/>
  <c r="K14" i="2"/>
  <c r="K9" i="2" s="1"/>
  <c r="K24" i="2" s="1"/>
  <c r="K52" i="2" l="1"/>
  <c r="K28" i="2"/>
  <c r="K25" i="2"/>
  <c r="K26" i="2"/>
  <c r="K55" i="2" s="1"/>
  <c r="O89" i="3"/>
  <c r="R89" i="3" s="1"/>
  <c r="Q89" i="3"/>
  <c r="K53" i="2" l="1"/>
  <c r="K60" i="2"/>
  <c r="Q90" i="3"/>
  <c r="O90" i="3"/>
  <c r="R90" i="3" s="1"/>
  <c r="K54" i="2"/>
  <c r="K27" i="2"/>
  <c r="K57" i="2" l="1"/>
  <c r="K56" i="2"/>
  <c r="O91" i="3"/>
  <c r="R91" i="3" s="1"/>
  <c r="Q91" i="3"/>
  <c r="K58" i="2" l="1"/>
  <c r="K59" i="2" s="1"/>
  <c r="O92" i="3"/>
  <c r="R92" i="3" s="1"/>
  <c r="Q92" i="3"/>
  <c r="O93" i="3" l="1"/>
  <c r="R93" i="3" s="1"/>
  <c r="Q93" i="3"/>
  <c r="O94" i="3" l="1"/>
  <c r="R94" i="3" s="1"/>
  <c r="Q94" i="3"/>
  <c r="O95" i="3" l="1"/>
  <c r="R95" i="3" s="1"/>
  <c r="Q95" i="3"/>
  <c r="O96" i="3" l="1"/>
  <c r="R96" i="3" s="1"/>
  <c r="Q96" i="3"/>
  <c r="O97" i="3" l="1"/>
  <c r="Q97" i="3"/>
  <c r="Q98" i="3" l="1"/>
  <c r="O98" i="3"/>
  <c r="R98" i="3" s="1"/>
  <c r="R97" i="3"/>
  <c r="S97" i="3"/>
  <c r="K10" i="3" l="1"/>
  <c r="U97" i="3"/>
  <c r="L41" i="2"/>
  <c r="L38" i="2" s="1"/>
  <c r="Q99" i="3"/>
  <c r="O99" i="3"/>
  <c r="R99" i="3" s="1"/>
  <c r="Q100" i="3" l="1"/>
  <c r="O100" i="3"/>
  <c r="R100" i="3" s="1"/>
  <c r="L14" i="2"/>
  <c r="L9" i="2" s="1"/>
  <c r="L24" i="2" s="1"/>
  <c r="L52" i="2" l="1"/>
  <c r="L28" i="2"/>
  <c r="L25" i="2"/>
  <c r="L26" i="2"/>
  <c r="L55" i="2" s="1"/>
  <c r="O101" i="3"/>
  <c r="R101" i="3" s="1"/>
  <c r="Q101" i="3"/>
  <c r="L53" i="2" l="1"/>
  <c r="L60" i="2"/>
  <c r="O102" i="3"/>
  <c r="R102" i="3" s="1"/>
  <c r="Q102" i="3"/>
  <c r="L54" i="2"/>
  <c r="L27" i="2"/>
  <c r="L56" i="2" l="1"/>
  <c r="L57" i="2"/>
  <c r="Q103" i="3"/>
  <c r="O103" i="3"/>
  <c r="R103" i="3" s="1"/>
  <c r="L58" i="2" l="1"/>
  <c r="L59" i="2" s="1"/>
  <c r="O104" i="3"/>
  <c r="R104" i="3" s="1"/>
  <c r="Q104" i="3"/>
  <c r="O105" i="3" l="1"/>
  <c r="R105" i="3" s="1"/>
  <c r="Q105" i="3"/>
  <c r="O106" i="3" l="1"/>
  <c r="R106" i="3" s="1"/>
  <c r="Q106" i="3"/>
  <c r="Q107" i="3" l="1"/>
  <c r="O107" i="3"/>
  <c r="R107" i="3" s="1"/>
  <c r="O108" i="3" l="1"/>
  <c r="R108" i="3" s="1"/>
  <c r="Q108" i="3"/>
  <c r="Q109" i="3" l="1"/>
  <c r="O109" i="3"/>
  <c r="R109" i="3" l="1"/>
  <c r="S109" i="3"/>
  <c r="O110" i="3"/>
  <c r="R110" i="3" s="1"/>
  <c r="Q110" i="3"/>
  <c r="O111" i="3" l="1"/>
  <c r="R111" i="3" s="1"/>
  <c r="Q111" i="3"/>
  <c r="U109" i="3"/>
  <c r="L10" i="3"/>
  <c r="M41" i="2"/>
  <c r="M38" i="2" s="1"/>
  <c r="M14" i="2" l="1"/>
  <c r="M9" i="2" s="1"/>
  <c r="M24" i="2" s="1"/>
  <c r="O112" i="3"/>
  <c r="R112" i="3" s="1"/>
  <c r="Q112" i="3"/>
  <c r="M52" i="2" l="1"/>
  <c r="O113" i="3"/>
  <c r="R113" i="3" s="1"/>
  <c r="Q113" i="3"/>
  <c r="M25" i="2"/>
  <c r="M54" i="2" s="1"/>
  <c r="M26" i="2"/>
  <c r="M55" i="2" s="1"/>
  <c r="M28" i="2"/>
  <c r="M60" i="2" l="1"/>
  <c r="M53" i="2"/>
  <c r="M57" i="2"/>
  <c r="M56" i="2"/>
  <c r="O114" i="3"/>
  <c r="R114" i="3" s="1"/>
  <c r="Q114" i="3"/>
  <c r="M27" i="2"/>
  <c r="O115" i="3" l="1"/>
  <c r="R115" i="3" s="1"/>
  <c r="Q115" i="3"/>
  <c r="M58" i="2"/>
  <c r="M59" i="2" s="1"/>
  <c r="O116" i="3" l="1"/>
  <c r="R116" i="3" s="1"/>
  <c r="Q116" i="3"/>
  <c r="Q117" i="3" l="1"/>
  <c r="O117" i="3"/>
  <c r="R117" i="3" s="1"/>
  <c r="O118" i="3" l="1"/>
  <c r="R118" i="3" s="1"/>
  <c r="Q118" i="3"/>
  <c r="O119" i="3" l="1"/>
  <c r="R119" i="3" s="1"/>
  <c r="Q119" i="3"/>
  <c r="O120" i="3" l="1"/>
  <c r="R120" i="3" s="1"/>
  <c r="Q120" i="3"/>
  <c r="O121" i="3" l="1"/>
  <c r="Q121" i="3"/>
  <c r="O122" i="3" l="1"/>
  <c r="R122" i="3" s="1"/>
  <c r="Q122" i="3"/>
  <c r="R121" i="3"/>
  <c r="S121" i="3"/>
  <c r="N41" i="2" l="1"/>
  <c r="N38" i="2" s="1"/>
  <c r="U121" i="3"/>
  <c r="M10" i="3"/>
  <c r="Q123" i="3"/>
  <c r="O123" i="3"/>
  <c r="R123" i="3" s="1"/>
  <c r="O124" i="3" l="1"/>
  <c r="R124" i="3" s="1"/>
  <c r="Q124" i="3"/>
  <c r="N14" i="2"/>
  <c r="N9" i="2" s="1"/>
  <c r="N24" i="2" s="1"/>
  <c r="N52" i="2" l="1"/>
  <c r="Q125" i="3"/>
  <c r="O125" i="3"/>
  <c r="R125" i="3" s="1"/>
  <c r="N26" i="2"/>
  <c r="N55" i="2" s="1"/>
  <c r="N28" i="2"/>
  <c r="N25" i="2"/>
  <c r="N60" i="2" l="1"/>
  <c r="N53" i="2"/>
  <c r="N54" i="2"/>
  <c r="N27" i="2"/>
  <c r="O126" i="3"/>
  <c r="R126" i="3" s="1"/>
  <c r="Q126" i="3"/>
  <c r="O127" i="3" l="1"/>
  <c r="R127" i="3" s="1"/>
  <c r="Q127" i="3"/>
  <c r="N57" i="2"/>
  <c r="N56" i="2"/>
  <c r="N58" i="2" l="1"/>
  <c r="N59" i="2" s="1"/>
  <c r="O128" i="3"/>
  <c r="R128" i="3" s="1"/>
  <c r="Q128" i="3"/>
  <c r="Q129" i="3" l="1"/>
  <c r="O129" i="3"/>
  <c r="R129" i="3" s="1"/>
  <c r="O130" i="3" l="1"/>
  <c r="R130" i="3" s="1"/>
  <c r="Q130" i="3"/>
  <c r="O131" i="3" l="1"/>
  <c r="R131" i="3" s="1"/>
  <c r="Q131" i="3"/>
  <c r="Q132" i="3" l="1"/>
  <c r="O132" i="3"/>
  <c r="R132" i="3" s="1"/>
  <c r="Q133" i="3" l="1"/>
  <c r="O133" i="3"/>
  <c r="R133" i="3" l="1"/>
  <c r="S133" i="3"/>
  <c r="Q134" i="3"/>
  <c r="O134" i="3"/>
  <c r="R134" i="3" s="1"/>
  <c r="O135" i="3" l="1"/>
  <c r="R135" i="3" s="1"/>
  <c r="Q135" i="3"/>
  <c r="N10" i="3"/>
  <c r="U133" i="3"/>
  <c r="O41" i="2"/>
  <c r="O38" i="2" s="1"/>
  <c r="O136" i="3" l="1"/>
  <c r="R136" i="3" s="1"/>
  <c r="Q136" i="3"/>
  <c r="O14" i="2"/>
  <c r="O9" i="2" s="1"/>
  <c r="O24" i="2" s="1"/>
  <c r="G16" i="7"/>
  <c r="G17" i="7" l="1"/>
  <c r="M17" i="7"/>
  <c r="O26" i="2"/>
  <c r="O55" i="2" s="1"/>
  <c r="O28" i="2"/>
  <c r="O25" i="2"/>
  <c r="O54" i="2" s="1"/>
  <c r="O137" i="3"/>
  <c r="R137" i="3" s="1"/>
  <c r="Q137" i="3"/>
  <c r="O57" i="2" l="1"/>
  <c r="O56" i="2"/>
  <c r="G29" i="7"/>
  <c r="Q138" i="3"/>
  <c r="O138" i="3"/>
  <c r="R138" i="3" s="1"/>
  <c r="G13" i="7"/>
  <c r="O52" i="2"/>
  <c r="O27" i="2"/>
  <c r="G27" i="7" l="1"/>
  <c r="O58" i="2"/>
  <c r="D69" i="2"/>
  <c r="O53" i="2"/>
  <c r="G28" i="7" s="1"/>
  <c r="D67" i="2"/>
  <c r="O60" i="2"/>
  <c r="G32" i="7" s="1"/>
  <c r="O139" i="3"/>
  <c r="R139" i="3" s="1"/>
  <c r="Q139" i="3"/>
  <c r="G4" i="7" l="1"/>
  <c r="Q140" i="3"/>
  <c r="O140" i="3"/>
  <c r="R140" i="3" s="1"/>
  <c r="G6" i="7"/>
  <c r="G30" i="7"/>
  <c r="O59" i="2"/>
  <c r="G31" i="7" s="1"/>
  <c r="O141" i="3" l="1"/>
  <c r="R141" i="3" s="1"/>
  <c r="Q141" i="3"/>
  <c r="Q142" i="3" l="1"/>
  <c r="O142" i="3"/>
  <c r="R142" i="3" s="1"/>
  <c r="Q143" i="3" l="1"/>
  <c r="O143" i="3"/>
  <c r="R143" i="3" s="1"/>
  <c r="Q144" i="3" l="1"/>
  <c r="O144" i="3"/>
  <c r="R144" i="3" s="1"/>
  <c r="Q145" i="3" l="1"/>
  <c r="O145" i="3"/>
  <c r="R145" i="3" l="1"/>
  <c r="S145" i="3"/>
  <c r="Q146" i="3"/>
  <c r="O146" i="3"/>
  <c r="R146" i="3" s="1"/>
  <c r="O10" i="3" l="1"/>
  <c r="P41" i="2"/>
  <c r="P38" i="2" s="1"/>
  <c r="U145" i="3"/>
  <c r="O147" i="3"/>
  <c r="R147" i="3" s="1"/>
  <c r="Q147" i="3"/>
  <c r="P14" i="2" l="1"/>
  <c r="P9" i="2" s="1"/>
  <c r="P24" i="2" s="1"/>
  <c r="H16" i="7"/>
  <c r="Q148" i="3"/>
  <c r="O148" i="3"/>
  <c r="R148" i="3" s="1"/>
  <c r="P25" i="2" l="1"/>
  <c r="P26" i="2"/>
  <c r="P55" i="2" s="1"/>
  <c r="P28" i="2"/>
  <c r="O149" i="3"/>
  <c r="R149" i="3" s="1"/>
  <c r="Q149" i="3"/>
  <c r="H13" i="7"/>
  <c r="P52" i="2"/>
  <c r="P53" i="2" l="1"/>
  <c r="H28" i="7" s="1"/>
  <c r="H27" i="7"/>
  <c r="P60" i="2"/>
  <c r="H32" i="7" s="1"/>
  <c r="O150" i="3"/>
  <c r="R150" i="3" s="1"/>
  <c r="Q150" i="3"/>
  <c r="P54" i="2"/>
  <c r="P27" i="2"/>
  <c r="H29" i="7" l="1"/>
  <c r="P57" i="2"/>
  <c r="P56" i="2"/>
  <c r="Q151" i="3"/>
  <c r="O151" i="3"/>
  <c r="R151" i="3" s="1"/>
  <c r="P58" i="2" l="1"/>
  <c r="P59" i="2" s="1"/>
  <c r="H31" i="7" s="1"/>
  <c r="Q152" i="3"/>
  <c r="O152" i="3"/>
  <c r="R152" i="3" s="1"/>
  <c r="H30" i="7" l="1"/>
  <c r="O153" i="3"/>
  <c r="R153" i="3" s="1"/>
  <c r="Q153" i="3"/>
  <c r="Q154" i="3" l="1"/>
  <c r="O154" i="3"/>
  <c r="R154" i="3" s="1"/>
  <c r="Q155" i="3" l="1"/>
  <c r="O155" i="3"/>
  <c r="R155" i="3" s="1"/>
  <c r="O156" i="3" l="1"/>
  <c r="R156" i="3" s="1"/>
  <c r="Q156" i="3"/>
  <c r="O157" i="3" l="1"/>
  <c r="Q157" i="3"/>
  <c r="Q158" i="3" l="1"/>
  <c r="O158" i="3"/>
  <c r="R158" i="3" s="1"/>
  <c r="R157" i="3"/>
  <c r="S157" i="3"/>
  <c r="U157" i="3" l="1"/>
  <c r="P10" i="3"/>
  <c r="Q41" i="2"/>
  <c r="Q38" i="2" s="1"/>
  <c r="O159" i="3"/>
  <c r="R159" i="3" s="1"/>
  <c r="Q159" i="3"/>
  <c r="O160" i="3" l="1"/>
  <c r="R160" i="3" s="1"/>
  <c r="Q160" i="3"/>
  <c r="Q14" i="2"/>
  <c r="Q9" i="2" s="1"/>
  <c r="Q24" i="2" s="1"/>
  <c r="Q52" i="2"/>
  <c r="Q60" i="2" l="1"/>
  <c r="Q53" i="2"/>
  <c r="Q28" i="2"/>
  <c r="Q25" i="2"/>
  <c r="Q26" i="2"/>
  <c r="Q55" i="2" s="1"/>
  <c r="O161" i="3"/>
  <c r="R161" i="3" s="1"/>
  <c r="Q161" i="3"/>
  <c r="O162" i="3" l="1"/>
  <c r="R162" i="3" s="1"/>
  <c r="Q162" i="3"/>
  <c r="Q54" i="2"/>
  <c r="Q27" i="2"/>
  <c r="Q57" i="2" l="1"/>
  <c r="Q56" i="2"/>
  <c r="Q163" i="3"/>
  <c r="O163" i="3"/>
  <c r="R163" i="3" s="1"/>
  <c r="Q58" i="2" l="1"/>
  <c r="Q59" i="2" s="1"/>
  <c r="O164" i="3"/>
  <c r="R164" i="3" s="1"/>
  <c r="Q164" i="3"/>
  <c r="Q165" i="3" l="1"/>
  <c r="O165" i="3"/>
  <c r="R165" i="3" s="1"/>
  <c r="O166" i="3" l="1"/>
  <c r="R166" i="3" s="1"/>
  <c r="Q166" i="3"/>
  <c r="O167" i="3" l="1"/>
  <c r="R167" i="3" s="1"/>
  <c r="Q167" i="3"/>
  <c r="Q168" i="3" l="1"/>
  <c r="O168" i="3"/>
  <c r="R168" i="3" s="1"/>
  <c r="O169" i="3" l="1"/>
  <c r="Q169" i="3"/>
  <c r="Q170" i="3" l="1"/>
  <c r="O170" i="3"/>
  <c r="R170" i="3" s="1"/>
  <c r="R169" i="3"/>
  <c r="S169" i="3"/>
  <c r="U169" i="3" l="1"/>
  <c r="Q10" i="3"/>
  <c r="R41" i="2"/>
  <c r="R38" i="2" s="1"/>
  <c r="O171" i="3"/>
  <c r="R171" i="3" s="1"/>
  <c r="Q171" i="3"/>
  <c r="O172" i="3" l="1"/>
  <c r="R172" i="3" s="1"/>
  <c r="Q172" i="3"/>
  <c r="R52" i="2"/>
  <c r="R14" i="2"/>
  <c r="R9" i="2" s="1"/>
  <c r="R24" i="2" s="1"/>
  <c r="R26" i="2" l="1"/>
  <c r="R55" i="2" s="1"/>
  <c r="R28" i="2"/>
  <c r="R25" i="2"/>
  <c r="R54" i="2" s="1"/>
  <c r="R53" i="2"/>
  <c r="R60" i="2"/>
  <c r="O173" i="3"/>
  <c r="R173" i="3" s="1"/>
  <c r="Q173" i="3"/>
  <c r="R27" i="2" l="1"/>
  <c r="O174" i="3"/>
  <c r="R174" i="3" s="1"/>
  <c r="Q174" i="3"/>
  <c r="R57" i="2"/>
  <c r="R56" i="2"/>
  <c r="R58" i="2" l="1"/>
  <c r="R59" i="2" s="1"/>
  <c r="Q175" i="3"/>
  <c r="O175" i="3"/>
  <c r="R175" i="3" s="1"/>
  <c r="Q176" i="3" l="1"/>
  <c r="O176" i="3"/>
  <c r="R176" i="3" s="1"/>
  <c r="Q177" i="3" l="1"/>
  <c r="O177" i="3"/>
  <c r="R177" i="3" s="1"/>
  <c r="Q178" i="3" l="1"/>
  <c r="O178" i="3"/>
  <c r="R178" i="3" s="1"/>
  <c r="Q179" i="3" l="1"/>
  <c r="O179" i="3"/>
  <c r="R179" i="3" s="1"/>
  <c r="O180" i="3" l="1"/>
  <c r="R180" i="3" s="1"/>
  <c r="Q180" i="3"/>
  <c r="O181" i="3" l="1"/>
  <c r="Q181" i="3"/>
  <c r="O182" i="3" l="1"/>
  <c r="R182" i="3" s="1"/>
  <c r="Q182" i="3"/>
  <c r="R181" i="3"/>
  <c r="S181" i="3"/>
  <c r="R10" i="3" l="1"/>
  <c r="U181" i="3"/>
  <c r="S41" i="2"/>
  <c r="S38" i="2" s="1"/>
  <c r="Q183" i="3"/>
  <c r="O183" i="3"/>
  <c r="R183" i="3" s="1"/>
  <c r="O184" i="3" l="1"/>
  <c r="R184" i="3" s="1"/>
  <c r="Q184" i="3"/>
  <c r="S52" i="2"/>
  <c r="S14" i="2"/>
  <c r="S9" i="2" s="1"/>
  <c r="S24" i="2" s="1"/>
  <c r="S25" i="2" l="1"/>
  <c r="S54" i="2" s="1"/>
  <c r="S28" i="2"/>
  <c r="S26" i="2"/>
  <c r="S55" i="2" s="1"/>
  <c r="S60" i="2"/>
  <c r="S53" i="2"/>
  <c r="O185" i="3"/>
  <c r="R185" i="3" s="1"/>
  <c r="Q185" i="3"/>
  <c r="S27" i="2" l="1"/>
  <c r="O186" i="3"/>
  <c r="R186" i="3" s="1"/>
  <c r="Q186" i="3"/>
  <c r="S56" i="2"/>
  <c r="S57" i="2"/>
  <c r="S58" i="2" l="1"/>
  <c r="S59" i="2" s="1"/>
  <c r="Q187" i="3"/>
  <c r="O187" i="3"/>
  <c r="R187" i="3" s="1"/>
  <c r="Q188" i="3" l="1"/>
  <c r="O188" i="3"/>
  <c r="R188" i="3" s="1"/>
  <c r="Q189" i="3" l="1"/>
  <c r="O189" i="3"/>
  <c r="R189" i="3" s="1"/>
  <c r="O190" i="3" l="1"/>
  <c r="R190" i="3" s="1"/>
  <c r="Q190" i="3"/>
  <c r="O191" i="3" l="1"/>
  <c r="R191" i="3" s="1"/>
  <c r="Q191" i="3"/>
  <c r="O192" i="3" l="1"/>
  <c r="R192" i="3" s="1"/>
  <c r="Q192" i="3"/>
  <c r="Q193" i="3" l="1"/>
  <c r="O193" i="3"/>
  <c r="R193" i="3" l="1"/>
  <c r="S193" i="3"/>
  <c r="S10" i="3" l="1"/>
  <c r="U193" i="3"/>
  <c r="U194" i="3" s="1"/>
  <c r="T41" i="2"/>
  <c r="T38" i="2" s="1"/>
  <c r="S194" i="3"/>
  <c r="I16" i="7" l="1"/>
  <c r="D64" i="2"/>
  <c r="AE41" i="2"/>
  <c r="M16" i="7" s="1"/>
  <c r="T14" i="2"/>
  <c r="T52" i="2" l="1"/>
  <c r="D61" i="2" s="1"/>
  <c r="AE38" i="2"/>
  <c r="M13" i="7" s="1"/>
  <c r="I13" i="7"/>
  <c r="AE14" i="2"/>
  <c r="T9" i="2"/>
  <c r="G4" i="1" s="1"/>
  <c r="T24" i="2" l="1"/>
  <c r="AE9" i="2"/>
  <c r="E69" i="2"/>
  <c r="F67" i="2"/>
  <c r="I4" i="7" s="1"/>
  <c r="T53" i="2"/>
  <c r="I27" i="7"/>
  <c r="T60" i="2"/>
  <c r="E67" i="2"/>
  <c r="K69" i="2"/>
  <c r="M5" i="7" s="1"/>
  <c r="AE52" i="2"/>
  <c r="M27" i="7" s="1"/>
  <c r="D3" i="1"/>
  <c r="F69" i="2"/>
  <c r="I6" i="7" s="1"/>
  <c r="H4" i="7" l="1"/>
  <c r="D60" i="2"/>
  <c r="G3" i="1" s="1"/>
  <c r="AE60" i="2"/>
  <c r="M32" i="7" s="1"/>
  <c r="I32" i="7"/>
  <c r="U53" i="2"/>
  <c r="I28" i="7"/>
  <c r="H6" i="7"/>
  <c r="T26" i="2"/>
  <c r="T55" i="2" s="1"/>
  <c r="AE24" i="2"/>
  <c r="T28" i="2"/>
  <c r="U28" i="2" s="1"/>
  <c r="V28" i="2" s="1"/>
  <c r="W28" i="2" s="1"/>
  <c r="X28" i="2" s="1"/>
  <c r="Y28" i="2" s="1"/>
  <c r="Z28" i="2" s="1"/>
  <c r="AA28" i="2" s="1"/>
  <c r="AB28" i="2" s="1"/>
  <c r="AC28" i="2" s="1"/>
  <c r="AD28" i="2" s="1"/>
  <c r="AE28" i="2" s="1"/>
  <c r="T25" i="2"/>
  <c r="J28" i="7" l="1"/>
  <c r="V53" i="2"/>
  <c r="W53" i="2" s="1"/>
  <c r="X53" i="2" s="1"/>
  <c r="T27" i="2"/>
  <c r="AE27" i="2" s="1"/>
  <c r="AE25" i="2"/>
  <c r="T54" i="2"/>
  <c r="Y53" i="2" l="1"/>
  <c r="Z53" i="2" s="1"/>
  <c r="AA53" i="2" s="1"/>
  <c r="AB53" i="2" s="1"/>
  <c r="AC53" i="2" s="1"/>
  <c r="AD53" i="2" s="1"/>
  <c r="T57" i="2"/>
  <c r="T56" i="2"/>
  <c r="AE54" i="2"/>
  <c r="M29" i="7" s="1"/>
  <c r="I29" i="7"/>
  <c r="K28" i="7" l="1"/>
  <c r="T58" i="2"/>
  <c r="AE58" i="2" s="1"/>
  <c r="M30" i="7" s="1"/>
  <c r="D63" i="2"/>
  <c r="D4" i="1" s="1"/>
  <c r="AE53" i="2"/>
  <c r="G66" i="2" s="1"/>
  <c r="L28" i="7"/>
  <c r="M28" i="7" s="1"/>
  <c r="I30" i="7" l="1"/>
  <c r="T59" i="2"/>
  <c r="I31" i="7" s="1"/>
  <c r="M2" i="7"/>
  <c r="K3" i="1"/>
  <c r="M3" i="7"/>
  <c r="U59" i="2" l="1"/>
  <c r="V59" i="2" s="1"/>
  <c r="W59" i="2" s="1"/>
  <c r="X59" i="2" s="1"/>
  <c r="Y59" i="2" s="1"/>
  <c r="J31" i="7" l="1"/>
  <c r="K31" i="7"/>
  <c r="Z59" i="2"/>
  <c r="AA59" i="2" s="1"/>
  <c r="AB59" i="2" s="1"/>
  <c r="AC59" i="2" s="1"/>
  <c r="AD59" i="2" s="1"/>
  <c r="L31" i="7" l="1"/>
  <c r="AE59" i="2"/>
  <c r="M3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Kouichi Yamauchi</author>
  </authors>
  <commentList>
    <comment ref="K15" authorId="0" shapeId="0" xr:uid="{1F1B05EB-82CB-404D-A88D-272DE27B1579}">
      <text>
        <r>
          <rPr>
            <b/>
            <sz val="9"/>
            <color rgb="FF000000"/>
            <rFont val="MS P ゴシック"/>
            <family val="3"/>
            <charset val="128"/>
          </rPr>
          <t>Kouichi Yamauchi:</t>
        </r>
        <r>
          <rPr>
            <sz val="9"/>
            <color rgb="FF000000"/>
            <rFont val="MS P ゴシック"/>
            <family val="3"/>
            <charset val="128"/>
          </rPr>
          <t xml:space="preserve">
</t>
        </r>
        <r>
          <rPr>
            <sz val="9"/>
            <color rgb="FF000000"/>
            <rFont val="MS P ゴシック"/>
            <family val="3"/>
            <charset val="128"/>
          </rPr>
          <t>日本ソーラーエッジ社の営業サポート大野氏の情報　</t>
        </r>
        <r>
          <rPr>
            <sz val="9"/>
            <color rgb="FF000000"/>
            <rFont val="MS P ゴシック"/>
            <family val="3"/>
            <charset val="128"/>
          </rPr>
          <t>2023/08/8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ge06</author>
    <author>Kouichi Yamauchi</author>
  </authors>
  <commentList>
    <comment ref="F42" authorId="0" shapeId="0" xr:uid="{00000000-0006-0000-0400-000001000000}">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G42" authorId="0" shapeId="0" xr:uid="{6F16F2D6-49C9-42C7-8367-1822BD3A3F50}">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H42" authorId="0" shapeId="0" xr:uid="{23983D89-005B-4172-9E39-5FC975DCED1D}">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I42" authorId="0" shapeId="0" xr:uid="{6DC0A5E1-FE8F-405C-9484-533C235284E4}">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J42" authorId="0" shapeId="0" xr:uid="{EF643338-FED2-4570-BC35-527DCC406961}">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K42" authorId="0" shapeId="0" xr:uid="{DC25AD57-C79F-44C5-B4C8-043FAA484486}">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L42" authorId="0" shapeId="0" xr:uid="{2291B51E-36F8-4191-B5B4-15F2377C0D45}">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M42" authorId="0" shapeId="0" xr:uid="{C90EF602-25D7-4CDC-A423-401BD1989921}">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N42" authorId="0" shapeId="0" xr:uid="{AE1CA6CC-3D7B-496D-AAF2-270A8D3ACB3F}">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O42" authorId="0" shapeId="0" xr:uid="{FFC6161C-76D1-4BC0-BAD2-4F8E6FDDC04E}">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P42" authorId="0" shapeId="0" xr:uid="{7279B299-6A76-4F7E-9C3C-C0887D2477DF}">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Q42" authorId="0" shapeId="0" xr:uid="{32A4A88D-119B-4D60-B05A-2F4207E2AAEA}">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R42" authorId="0" shapeId="0" xr:uid="{D3C5A465-EB1A-40EA-9585-242CAFBA4B5D}">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S42" authorId="0" shapeId="0" xr:uid="{7A02493E-3307-47C9-9330-EBA9BE39ADEF}">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T42" authorId="0" shapeId="0" xr:uid="{8E2FE07A-7FB5-4E76-942F-BC3F6131F526}">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U42" authorId="0" shapeId="0" xr:uid="{59633720-1FC2-4014-8213-0D15127687A1}">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V42" authorId="0" shapeId="0" xr:uid="{A315057B-05AA-402F-9296-53B83D994B97}">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W42" authorId="0" shapeId="0" xr:uid="{30B3C543-700E-42D6-B619-91B819800AEC}">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X42" authorId="0" shapeId="0" xr:uid="{08EFE90E-0824-4093-8518-9E5CDA6A44BF}">
      <text>
        <r>
          <rPr>
            <b/>
            <sz val="9"/>
            <color rgb="FF000000"/>
            <rFont val="ＭＳ Ｐゴシック"/>
            <family val="2"/>
            <charset val="128"/>
          </rPr>
          <t xml:space="preserve">SOLAEEDGE </t>
        </r>
        <r>
          <rPr>
            <b/>
            <sz val="9"/>
            <color rgb="FF000000"/>
            <rFont val="ＭＳ Ｐゴシック"/>
            <family val="2"/>
            <charset val="128"/>
          </rPr>
          <t>製</t>
        </r>
        <r>
          <rPr>
            <b/>
            <sz val="9"/>
            <color rgb="FF000000"/>
            <rFont val="ＭＳ Ｐゴシック"/>
            <family val="2"/>
            <charset val="128"/>
          </rPr>
          <t xml:space="preserve">PCS
</t>
        </r>
      </text>
    </comment>
    <comment ref="F43" authorId="0" shapeId="0" xr:uid="{00000000-0006-0000-0400-00000B000000}">
      <text>
        <r>
          <rPr>
            <b/>
            <sz val="9"/>
            <color rgb="FF000000"/>
            <rFont val="ＭＳ Ｐゴシック"/>
            <family val="2"/>
            <charset val="128"/>
          </rPr>
          <t>ge06:</t>
        </r>
        <r>
          <rPr>
            <sz val="9"/>
            <color rgb="FF000000"/>
            <rFont val="ＭＳ Ｐゴシック"/>
            <family val="2"/>
            <charset val="128"/>
          </rPr>
          <t xml:space="preserve">
</t>
        </r>
        <r>
          <rPr>
            <sz val="9"/>
            <color rgb="FF000000"/>
            <rFont val="ＭＳ Ｐゴシック"/>
            <family val="2"/>
            <charset val="128"/>
          </rPr>
          <t>コメリで</t>
        </r>
        <r>
          <rPr>
            <sz val="9"/>
            <color rgb="FF000000"/>
            <rFont val="ＭＳ Ｐゴシック"/>
            <family val="2"/>
            <charset val="128"/>
          </rPr>
          <t>50mx2m</t>
        </r>
        <r>
          <rPr>
            <sz val="9"/>
            <color rgb="FF000000"/>
            <rFont val="ＭＳ Ｐゴシック"/>
            <family val="2"/>
            <charset val="128"/>
          </rPr>
          <t>幅が</t>
        </r>
        <r>
          <rPr>
            <sz val="9"/>
            <color rgb="FF000000"/>
            <rFont val="ＭＳ Ｐゴシック"/>
            <family val="2"/>
            <charset val="128"/>
          </rPr>
          <t>25000</t>
        </r>
        <r>
          <rPr>
            <sz val="9"/>
            <color rgb="FF000000"/>
            <rFont val="ＭＳ Ｐゴシック"/>
            <family val="2"/>
            <charset val="128"/>
          </rPr>
          <t>円</t>
        </r>
      </text>
    </comment>
    <comment ref="G43" authorId="0" shapeId="0" xr:uid="{00000000-0006-0000-0400-00000C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H43" authorId="0" shapeId="0" xr:uid="{00000000-0006-0000-0400-00000D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I43" authorId="0" shapeId="0" xr:uid="{00000000-0006-0000-0400-00000E000000}">
      <text>
        <r>
          <rPr>
            <b/>
            <sz val="9"/>
            <color rgb="FF000000"/>
            <rFont val="ＭＳ Ｐゴシック"/>
            <family val="2"/>
            <charset val="128"/>
          </rPr>
          <t>ge06:</t>
        </r>
        <r>
          <rPr>
            <sz val="9"/>
            <color rgb="FF000000"/>
            <rFont val="ＭＳ Ｐゴシック"/>
            <family val="2"/>
            <charset val="128"/>
          </rPr>
          <t xml:space="preserve">
</t>
        </r>
        <r>
          <rPr>
            <sz val="9"/>
            <color rgb="FF000000"/>
            <rFont val="ＭＳ Ｐゴシック"/>
            <family val="2"/>
            <charset val="128"/>
          </rPr>
          <t>まめっこ播種代</t>
        </r>
        <r>
          <rPr>
            <sz val="9"/>
            <color rgb="FF000000"/>
            <rFont val="ＭＳ Ｐゴシック"/>
            <family val="2"/>
            <charset val="128"/>
          </rPr>
          <t>3</t>
        </r>
        <r>
          <rPr>
            <sz val="9"/>
            <color rgb="FF000000"/>
            <rFont val="ＭＳ Ｐゴシック"/>
            <family val="2"/>
            <charset val="128"/>
          </rPr>
          <t>年ごとに</t>
        </r>
        <r>
          <rPr>
            <sz val="9"/>
            <color rgb="FF000000"/>
            <rFont val="ＭＳ Ｐゴシック"/>
            <family val="2"/>
            <charset val="128"/>
          </rPr>
          <t>602,000</t>
        </r>
        <r>
          <rPr>
            <sz val="9"/>
            <color rgb="FF000000"/>
            <rFont val="ＭＳ Ｐゴシック"/>
            <family val="2"/>
            <charset val="128"/>
          </rPr>
          <t>円</t>
        </r>
        <r>
          <rPr>
            <sz val="9"/>
            <color rgb="FF000000"/>
            <rFont val="ＭＳ Ｐゴシック"/>
            <family val="2"/>
            <charset val="128"/>
          </rPr>
          <t>+</t>
        </r>
        <r>
          <rPr>
            <sz val="9"/>
            <color rgb="FF000000"/>
            <rFont val="ＭＳ Ｐゴシック"/>
            <family val="2"/>
            <charset val="128"/>
          </rPr>
          <t>草刈代</t>
        </r>
        <r>
          <rPr>
            <sz val="9"/>
            <color rgb="FF000000"/>
            <rFont val="ＭＳ Ｐゴシック"/>
            <family val="2"/>
            <charset val="128"/>
          </rPr>
          <t>20,000x3</t>
        </r>
        <r>
          <rPr>
            <sz val="9"/>
            <color rgb="FF000000"/>
            <rFont val="ＭＳ Ｐゴシック"/>
            <family val="2"/>
            <charset val="128"/>
          </rPr>
          <t>人ｘ</t>
        </r>
        <r>
          <rPr>
            <sz val="9"/>
            <color rgb="FF000000"/>
            <rFont val="ＭＳ Ｐゴシック"/>
            <family val="2"/>
            <charset val="128"/>
          </rPr>
          <t>4</t>
        </r>
        <r>
          <rPr>
            <sz val="9"/>
            <color rgb="FF000000"/>
            <rFont val="ＭＳ Ｐゴシック"/>
            <family val="2"/>
            <charset val="128"/>
          </rPr>
          <t>日＝</t>
        </r>
        <r>
          <rPr>
            <sz val="9"/>
            <color rgb="FF000000"/>
            <rFont val="ＭＳ Ｐゴシック"/>
            <family val="2"/>
            <charset val="128"/>
          </rPr>
          <t>24</t>
        </r>
        <r>
          <rPr>
            <sz val="9"/>
            <color rgb="FF000000"/>
            <rFont val="ＭＳ Ｐゴシック"/>
            <family val="2"/>
            <charset val="128"/>
          </rPr>
          <t>万円</t>
        </r>
      </text>
    </comment>
    <comment ref="J43" authorId="0" shapeId="0" xr:uid="{00000000-0006-0000-0400-00000F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K43" authorId="0" shapeId="0" xr:uid="{00000000-0006-0000-0400-000010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L43" authorId="0" shapeId="0" xr:uid="{00000000-0006-0000-0400-000011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M43" authorId="0" shapeId="0" xr:uid="{00000000-0006-0000-0400-000012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N43" authorId="0" shapeId="0" xr:uid="{00000000-0006-0000-0400-000013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O43" authorId="0" shapeId="0" xr:uid="{00000000-0006-0000-0400-000014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P43" authorId="0" shapeId="0" xr:uid="{00000000-0006-0000-0400-000015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Q43" authorId="0" shapeId="0" xr:uid="{00000000-0006-0000-0400-000016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R43" authorId="0" shapeId="0" xr:uid="{00000000-0006-0000-0400-000017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S43" authorId="0" shapeId="0" xr:uid="{00000000-0006-0000-0400-000018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T43" authorId="0" shapeId="0" xr:uid="{00000000-0006-0000-0400-000019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U43" authorId="0" shapeId="0" xr:uid="{00000000-0006-0000-0400-00001A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V43" authorId="0" shapeId="0" xr:uid="{00000000-0006-0000-0400-00001B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W43" authorId="0" shapeId="0" xr:uid="{00000000-0006-0000-0400-00001C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X43" authorId="0" shapeId="0" xr:uid="{00000000-0006-0000-0400-00001D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Y43" authorId="0" shapeId="0" xr:uid="{00000000-0006-0000-0400-00001E000000}">
      <text>
        <r>
          <rPr>
            <b/>
            <sz val="9"/>
            <color indexed="81"/>
            <rFont val="ＭＳ Ｐゴシック"/>
            <family val="3"/>
            <charset val="128"/>
          </rPr>
          <t>ge06:</t>
        </r>
        <r>
          <rPr>
            <sz val="9"/>
            <color indexed="81"/>
            <rFont val="ＭＳ Ｐゴシック"/>
            <family val="3"/>
            <charset val="128"/>
          </rPr>
          <t xml:space="preserve">
まめっこ播種代3年ごとに602,000円+草刈代20,000x3人ｘ4日＝24万円</t>
        </r>
      </text>
    </comment>
    <comment ref="Y49" authorId="1" shapeId="0" xr:uid="{BCFC4D1D-74D6-457F-9FBD-CA75FABD55D1}">
      <text>
        <r>
          <rPr>
            <b/>
            <sz val="9"/>
            <color indexed="81"/>
            <rFont val="MS P ゴシック"/>
            <family val="3"/>
            <charset val="128"/>
          </rPr>
          <t>Kouichi Yamauchi:</t>
        </r>
        <r>
          <rPr>
            <sz val="9"/>
            <color indexed="81"/>
            <rFont val="MS P ゴシック"/>
            <family val="3"/>
            <charset val="128"/>
          </rPr>
          <t xml:space="preserve">
5人が７日間撤去作業をする。１人工２５，０００円が年間３％の率で上昇すると仮定。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ge06</author>
  </authors>
  <commentList>
    <comment ref="C23" authorId="0" shapeId="0" xr:uid="{00000000-0006-0000-0900-000001000000}">
      <text>
        <r>
          <rPr>
            <b/>
            <sz val="9"/>
            <color rgb="FF000000"/>
            <rFont val="ＭＳ Ｐゴシック"/>
            <family val="2"/>
            <charset val="128"/>
          </rPr>
          <t>ge06:</t>
        </r>
        <r>
          <rPr>
            <sz val="9"/>
            <color rgb="FF000000"/>
            <rFont val="ＭＳ Ｐゴシック"/>
            <family val="2"/>
            <charset val="128"/>
          </rPr>
          <t xml:space="preserve">
</t>
        </r>
        <r>
          <rPr>
            <sz val="9"/>
            <color rgb="FF000000"/>
            <rFont val="ＭＳ Ｐゴシック"/>
            <family val="2"/>
            <charset val="128"/>
          </rPr>
          <t>初年度は取得価額ｘ</t>
        </r>
        <r>
          <rPr>
            <sz val="9"/>
            <color rgb="FF000000"/>
            <rFont val="ＭＳ Ｐゴシック"/>
            <family val="2"/>
            <charset val="128"/>
          </rPr>
          <t>0.936</t>
        </r>
        <r>
          <rPr>
            <sz val="9"/>
            <color rgb="FF000000"/>
            <rFont val="ＭＳ Ｐゴシック"/>
            <family val="2"/>
            <charset val="128"/>
          </rPr>
          <t>＝評価額</t>
        </r>
      </text>
    </comment>
  </commentList>
</comments>
</file>

<file path=xl/sharedStrings.xml><?xml version="1.0" encoding="utf-8"?>
<sst xmlns="http://schemas.openxmlformats.org/spreadsheetml/2006/main" count="509" uniqueCount="389">
  <si>
    <t>備考</t>
  </si>
  <si>
    <t>諸条件</t>
  </si>
  <si>
    <t>太陽光パネル導入規模</t>
  </si>
  <si>
    <t>kW</t>
  </si>
  <si>
    <t>kWh/kW</t>
  </si>
  <si>
    <t>円/kWh</t>
  </si>
  <si>
    <t>償却年数</t>
  </si>
  <si>
    <t>年</t>
  </si>
  <si>
    <t>残存価値</t>
  </si>
  <si>
    <t>金融機関借入金利</t>
  </si>
  <si>
    <t>金融機関借入期間</t>
  </si>
  <si>
    <t>年間</t>
  </si>
  <si>
    <t>法人税等</t>
  </si>
  <si>
    <t>0年</t>
  </si>
  <si>
    <t>計</t>
  </si>
  <si>
    <t>設備導入</t>
  </si>
  <si>
    <t>収入</t>
  </si>
  <si>
    <t>支出</t>
  </si>
  <si>
    <t>税引前利益</t>
  </si>
  <si>
    <t>税引後利益</t>
  </si>
  <si>
    <t>パワコン</t>
  </si>
  <si>
    <t>架台</t>
    <rPh sb="0" eb="2">
      <t>カダイ</t>
    </rPh>
    <phoneticPr fontId="10"/>
  </si>
  <si>
    <t>円/kWh</t>
    <phoneticPr fontId="28"/>
  </si>
  <si>
    <t>出資比率（一般出資）</t>
    <rPh sb="0" eb="2">
      <t>シュッシ</t>
    </rPh>
    <rPh sb="2" eb="4">
      <t>ヒリツ</t>
    </rPh>
    <rPh sb="5" eb="7">
      <t>イッパン</t>
    </rPh>
    <rPh sb="7" eb="9">
      <t>シュッシ</t>
    </rPh>
    <phoneticPr fontId="28"/>
  </si>
  <si>
    <t>出資比率（借入）</t>
    <rPh sb="0" eb="2">
      <t>シュッシ</t>
    </rPh>
    <rPh sb="2" eb="4">
      <t>ヒリツ</t>
    </rPh>
    <rPh sb="5" eb="7">
      <t>カリイレ</t>
    </rPh>
    <phoneticPr fontId="28"/>
  </si>
  <si>
    <t>返済のスタイル</t>
    <rPh sb="0" eb="2">
      <t>ヘンサイ</t>
    </rPh>
    <phoneticPr fontId="28"/>
  </si>
  <si>
    <t>元利均等方式</t>
  </si>
  <si>
    <t>固定価格買取期間</t>
    <rPh sb="0" eb="2">
      <t>コテイ</t>
    </rPh>
    <rPh sb="2" eb="4">
      <t>カカク</t>
    </rPh>
    <rPh sb="4" eb="6">
      <t>カイトリ</t>
    </rPh>
    <rPh sb="6" eb="8">
      <t>キカン</t>
    </rPh>
    <phoneticPr fontId="28"/>
  </si>
  <si>
    <t>年</t>
    <rPh sb="0" eb="1">
      <t>ネン</t>
    </rPh>
    <phoneticPr fontId="28"/>
  </si>
  <si>
    <t>設備管理費</t>
  </si>
  <si>
    <t>設備管理費</t>
    <rPh sb="0" eb="2">
      <t>セツビ</t>
    </rPh>
    <rPh sb="2" eb="5">
      <t>カンリヒ</t>
    </rPh>
    <phoneticPr fontId="28"/>
  </si>
  <si>
    <t>円/月</t>
    <rPh sb="0" eb="1">
      <t>エン</t>
    </rPh>
    <rPh sb="2" eb="3">
      <t>ツキ</t>
    </rPh>
    <phoneticPr fontId="28"/>
  </si>
  <si>
    <t>返済回数</t>
    <phoneticPr fontId="28"/>
  </si>
  <si>
    <t>借入額</t>
    <phoneticPr fontId="28"/>
  </si>
  <si>
    <t>金利（年利</t>
    <phoneticPr fontId="28"/>
  </si>
  <si>
    <t>月数換算で</t>
    <phoneticPr fontId="28"/>
  </si>
  <si>
    <t>年数換算で</t>
    <phoneticPr fontId="28"/>
  </si>
  <si>
    <t>元本返済額</t>
    <rPh sb="0" eb="2">
      <t>ガンポン</t>
    </rPh>
    <rPh sb="2" eb="4">
      <t>ヘンサイ</t>
    </rPh>
    <rPh sb="4" eb="5">
      <t>ガク</t>
    </rPh>
    <phoneticPr fontId="28"/>
  </si>
  <si>
    <t>金利支払い額</t>
    <rPh sb="0" eb="2">
      <t>キンリ</t>
    </rPh>
    <rPh sb="2" eb="4">
      <t>シハラ</t>
    </rPh>
    <rPh sb="5" eb="6">
      <t>ガク</t>
    </rPh>
    <phoneticPr fontId="28"/>
  </si>
  <si>
    <t>元利均等返済方式</t>
  </si>
  <si>
    <t>返済額</t>
    <rPh sb="0" eb="2">
      <t>ヘンサイ</t>
    </rPh>
    <rPh sb="2" eb="3">
      <t>ガク</t>
    </rPh>
    <phoneticPr fontId="28"/>
  </si>
  <si>
    <t>年間返済額</t>
    <rPh sb="0" eb="2">
      <t>ネンカン</t>
    </rPh>
    <rPh sb="2" eb="4">
      <t>ヘンサイ</t>
    </rPh>
    <rPh sb="4" eb="5">
      <t>ガク</t>
    </rPh>
    <phoneticPr fontId="28"/>
  </si>
  <si>
    <t>年次</t>
    <rPh sb="0" eb="2">
      <t>ネンジ</t>
    </rPh>
    <phoneticPr fontId="28"/>
  </si>
  <si>
    <t>月</t>
    <rPh sb="0" eb="1">
      <t>ツキ</t>
    </rPh>
    <phoneticPr fontId="28"/>
  </si>
  <si>
    <t>金利支払額</t>
    <rPh sb="0" eb="2">
      <t>キンリ</t>
    </rPh>
    <rPh sb="2" eb="4">
      <t>シハライ</t>
    </rPh>
    <rPh sb="4" eb="5">
      <t>ガク</t>
    </rPh>
    <phoneticPr fontId="28"/>
  </si>
  <si>
    <t>合計</t>
    <rPh sb="0" eb="2">
      <t>ゴウケイ</t>
    </rPh>
    <phoneticPr fontId="28"/>
  </si>
  <si>
    <t>金利支払額</t>
    <rPh sb="0" eb="5">
      <t>キンリシハライガク</t>
    </rPh>
    <phoneticPr fontId="28"/>
  </si>
  <si>
    <t>元本返済額</t>
    <rPh sb="0" eb="5">
      <t>ガンポンヘンサイガク</t>
    </rPh>
    <phoneticPr fontId="28"/>
  </si>
  <si>
    <t>残存元本額</t>
    <rPh sb="0" eb="2">
      <t>ザンゾン</t>
    </rPh>
    <rPh sb="2" eb="4">
      <t>ガンポン</t>
    </rPh>
    <rPh sb="4" eb="5">
      <t>ガク</t>
    </rPh>
    <phoneticPr fontId="28"/>
  </si>
  <si>
    <t>支払い合計</t>
    <rPh sb="0" eb="2">
      <t>シハラ</t>
    </rPh>
    <rPh sb="3" eb="5">
      <t>ゴウケイ</t>
    </rPh>
    <phoneticPr fontId="28"/>
  </si>
  <si>
    <t>固定資産税額の計算方法について</t>
    <rPh sb="0" eb="2">
      <t>コテイ</t>
    </rPh>
    <rPh sb="2" eb="4">
      <t>シサン</t>
    </rPh>
    <phoneticPr fontId="28"/>
  </si>
  <si>
    <t>評価額の計算式</t>
  </si>
  <si>
    <t>評価額</t>
  </si>
  <si>
    <t>　前年中に取得した資産　</t>
  </si>
  <si>
    <t>　取得価額　　　 × 　（１―　減価率／２　）　</t>
  </si>
  <si>
    <t>　前年前に取得した資産　</t>
  </si>
  <si>
    <t>　前年度評価額 　× 　（１―　減価率 　　）</t>
  </si>
  <si>
    <t>税額の計算式</t>
    <rPh sb="0" eb="2">
      <t>ゼイガク</t>
    </rPh>
    <rPh sb="3" eb="5">
      <t>ケイサン</t>
    </rPh>
    <rPh sb="5" eb="6">
      <t>シキ</t>
    </rPh>
    <phoneticPr fontId="28"/>
  </si>
  <si>
    <t>＝課税標準額（1000円未満切り捨て）ｘ税率（1.4/100）</t>
    <rPh sb="1" eb="3">
      <t>カゼイ</t>
    </rPh>
    <rPh sb="3" eb="5">
      <t>ヒョウジュン</t>
    </rPh>
    <rPh sb="5" eb="6">
      <t>ガク</t>
    </rPh>
    <rPh sb="11" eb="12">
      <t>エン</t>
    </rPh>
    <rPh sb="12" eb="14">
      <t>ミマン</t>
    </rPh>
    <rPh sb="14" eb="15">
      <t>キ</t>
    </rPh>
    <rPh sb="16" eb="17">
      <t>ス</t>
    </rPh>
    <rPh sb="20" eb="21">
      <t>ゼイ</t>
    </rPh>
    <rPh sb="21" eb="22">
      <t>リツ</t>
    </rPh>
    <phoneticPr fontId="28"/>
  </si>
  <si>
    <t>計算例　1000万円で取得したＰＶ設備の場合</t>
    <rPh sb="0" eb="2">
      <t>ケイサン</t>
    </rPh>
    <rPh sb="2" eb="3">
      <t>レイ</t>
    </rPh>
    <rPh sb="8" eb="10">
      <t>マンエン</t>
    </rPh>
    <rPh sb="11" eb="13">
      <t>シュトク</t>
    </rPh>
    <rPh sb="17" eb="19">
      <t>セツビ</t>
    </rPh>
    <rPh sb="20" eb="22">
      <t>バアイ</t>
    </rPh>
    <phoneticPr fontId="28"/>
  </si>
  <si>
    <t>ｋｗ規模</t>
    <rPh sb="2" eb="4">
      <t>キボ</t>
    </rPh>
    <phoneticPr fontId="28"/>
  </si>
  <si>
    <t>ｋｗ単価</t>
    <rPh sb="2" eb="4">
      <t>タンカ</t>
    </rPh>
    <phoneticPr fontId="28"/>
  </si>
  <si>
    <t>取得額</t>
    <rPh sb="0" eb="2">
      <t>シュトク</t>
    </rPh>
    <rPh sb="2" eb="3">
      <t>ガク</t>
    </rPh>
    <phoneticPr fontId="28"/>
  </si>
  <si>
    <t>太陽光発電所の耐用年数</t>
    <rPh sb="0" eb="3">
      <t>タイヨウコウ</t>
    </rPh>
    <rPh sb="3" eb="5">
      <t>ハツデン</t>
    </rPh>
    <rPh sb="5" eb="6">
      <t>ショ</t>
    </rPh>
    <rPh sb="7" eb="9">
      <t>タイヨウ</t>
    </rPh>
    <rPh sb="9" eb="11">
      <t>ネンスウ</t>
    </rPh>
    <phoneticPr fontId="28"/>
  </si>
  <si>
    <t>１７年</t>
    <rPh sb="2" eb="3">
      <t>ネン</t>
    </rPh>
    <phoneticPr fontId="28"/>
  </si>
  <si>
    <r>
      <t>減価率　</t>
    </r>
    <r>
      <rPr>
        <b/>
        <sz val="11"/>
        <color indexed="10"/>
        <rFont val="ＭＳ Ｐゴシック"/>
        <family val="3"/>
        <charset val="128"/>
      </rPr>
      <t>*2</t>
    </r>
    <rPh sb="0" eb="2">
      <t>ゲンカ</t>
    </rPh>
    <rPh sb="2" eb="3">
      <t>リツ</t>
    </rPh>
    <phoneticPr fontId="28"/>
  </si>
  <si>
    <t>税率</t>
    <rPh sb="0" eb="2">
      <t>ゼイリツ</t>
    </rPh>
    <phoneticPr fontId="28"/>
  </si>
  <si>
    <r>
      <rPr>
        <b/>
        <sz val="11"/>
        <color indexed="10"/>
        <rFont val="ＭＳ Ｐゴシック"/>
        <family val="3"/>
        <charset val="128"/>
      </rPr>
      <t>*1</t>
    </r>
    <r>
      <rPr>
        <sz val="11"/>
        <rFont val="ＭＳ Ｐゴシック"/>
        <family val="3"/>
        <charset val="128"/>
      </rPr>
      <t>：課税標準の軽減＝2/3に軽減とは：</t>
    </r>
    <phoneticPr fontId="28"/>
  </si>
  <si>
    <r>
      <rPr>
        <b/>
        <sz val="11"/>
        <color indexed="10"/>
        <rFont val="ＭＳ Ｐゴシック"/>
        <family val="3"/>
        <charset val="128"/>
      </rPr>
      <t>*2</t>
    </r>
    <r>
      <rPr>
        <sz val="11"/>
        <rFont val="ＭＳ Ｐゴシック"/>
        <family val="3"/>
        <charset val="128"/>
      </rPr>
      <t>　2007年に国税当局による減価償却方法の変更があり、それによって定率法の償却率が0.127から0.147に変更となった。</t>
    </r>
    <phoneticPr fontId="28"/>
  </si>
  <si>
    <t xml:space="preserve">       しかし、この変更後も固定資産税（地方税）の計算に適用される償却率の変更は行われていない。詳細は　http://www.kanchu.or.jp/sinkoku/syoukyakunew.htm  を参照されたい。</t>
    <phoneticPr fontId="28"/>
  </si>
  <si>
    <t>課税標準の軽減＝最初の3年間を2/3に軽減*1</t>
    <rPh sb="0" eb="2">
      <t>カゼイ</t>
    </rPh>
    <rPh sb="2" eb="4">
      <t>ヒョウジュン</t>
    </rPh>
    <rPh sb="5" eb="7">
      <t>ケイゲン</t>
    </rPh>
    <rPh sb="8" eb="10">
      <t>サイショ</t>
    </rPh>
    <rPh sb="12" eb="14">
      <t>ネンカン</t>
    </rPh>
    <rPh sb="19" eb="21">
      <t>ケイゲン</t>
    </rPh>
    <phoneticPr fontId="28"/>
  </si>
  <si>
    <t>軽減後の課税標準</t>
    <rPh sb="0" eb="2">
      <t>ケイゲン</t>
    </rPh>
    <rPh sb="2" eb="3">
      <t>ゴ</t>
    </rPh>
    <rPh sb="4" eb="6">
      <t>カゼイ</t>
    </rPh>
    <rPh sb="6" eb="8">
      <t>ヒョウジュン</t>
    </rPh>
    <phoneticPr fontId="28"/>
  </si>
  <si>
    <t>年間発電量</t>
    <rPh sb="0" eb="2">
      <t>ネンカン</t>
    </rPh>
    <rPh sb="2" eb="4">
      <t>ハツデン</t>
    </rPh>
    <rPh sb="4" eb="5">
      <t>リョウ</t>
    </rPh>
    <phoneticPr fontId="28"/>
  </si>
  <si>
    <t>グリーン電力証書の販売収入</t>
    <phoneticPr fontId="28"/>
  </si>
  <si>
    <t>初年度特別償却可能％</t>
    <phoneticPr fontId="28"/>
  </si>
  <si>
    <t>ソーラー電力外販収入</t>
    <rPh sb="4" eb="6">
      <t>デンリョク</t>
    </rPh>
    <rPh sb="6" eb="8">
      <t>ガイハン</t>
    </rPh>
    <rPh sb="8" eb="10">
      <t>シュウニュウ</t>
    </rPh>
    <phoneticPr fontId="10"/>
  </si>
  <si>
    <t>電力価格の年率上昇率</t>
    <rPh sb="0" eb="2">
      <t>デンリョク</t>
    </rPh>
    <rPh sb="2" eb="4">
      <t>カカク</t>
    </rPh>
    <rPh sb="5" eb="7">
      <t>ネンリツ</t>
    </rPh>
    <rPh sb="7" eb="9">
      <t>ジョウショウ</t>
    </rPh>
    <rPh sb="9" eb="10">
      <t>リツ</t>
    </rPh>
    <phoneticPr fontId="28"/>
  </si>
  <si>
    <t>売電売上</t>
    <rPh sb="0" eb="2">
      <t>バイデン</t>
    </rPh>
    <rPh sb="2" eb="4">
      <t>ウリアゲ</t>
    </rPh>
    <phoneticPr fontId="28"/>
  </si>
  <si>
    <t>発電データ計測コスト</t>
  </si>
  <si>
    <t>元本返済額</t>
    <rPh sb="0" eb="2">
      <t>ｶﾞﾝﾎﾟﾝ</t>
    </rPh>
    <rPh sb="2" eb="4">
      <t>ﾍﾝｻｲ</t>
    </rPh>
    <rPh sb="4" eb="5">
      <t>ｶﾞｸ</t>
    </rPh>
    <phoneticPr fontId="9" type="noConversion"/>
  </si>
  <si>
    <t>金利支払い額</t>
  </si>
  <si>
    <t>修繕・部品交換代</t>
  </si>
  <si>
    <t>保険料</t>
  </si>
  <si>
    <t>会計費用</t>
    <rPh sb="0" eb="2">
      <t>カイケイ</t>
    </rPh>
    <rPh sb="2" eb="4">
      <t>ヒヨウ</t>
    </rPh>
    <phoneticPr fontId="10"/>
  </si>
  <si>
    <t>元本均等返済方式</t>
    <phoneticPr fontId="28"/>
  </si>
  <si>
    <t>元本均等方式</t>
    <phoneticPr fontId="28"/>
  </si>
  <si>
    <t>元利均等方式 : 1 元本均等方式 : 2</t>
    <phoneticPr fontId="28"/>
  </si>
  <si>
    <t>特別償却額</t>
    <rPh sb="0" eb="2">
      <t>トクベツ</t>
    </rPh>
    <rPh sb="2" eb="4">
      <t>ショウキャク</t>
    </rPh>
    <rPh sb="4" eb="5">
      <t>ガク</t>
    </rPh>
    <phoneticPr fontId="10"/>
  </si>
  <si>
    <t>普通減価償却</t>
    <rPh sb="0" eb="2">
      <t>ﾌﾂｳ</t>
    </rPh>
    <rPh sb="2" eb="4">
      <t>ｹﾞﾝｶ</t>
    </rPh>
    <rPh sb="4" eb="6">
      <t>ｼｮｳｷｬｸ</t>
    </rPh>
    <phoneticPr fontId="9" type="noConversion"/>
  </si>
  <si>
    <t>手元現金額（税引き前）</t>
    <phoneticPr fontId="28"/>
  </si>
  <si>
    <t>手元現金額（税引き後）</t>
    <phoneticPr fontId="28"/>
  </si>
  <si>
    <t>手許現金累積額（税引き前）</t>
    <phoneticPr fontId="28"/>
  </si>
  <si>
    <t>税引き後累積手元現金高</t>
    <phoneticPr fontId="28"/>
  </si>
  <si>
    <t>自己資本投資利回り（税引き前）</t>
    <phoneticPr fontId="28"/>
  </si>
  <si>
    <t>単位：円</t>
    <phoneticPr fontId="28"/>
  </si>
  <si>
    <t>自己資本ＩＲＲ（税引き前20年＆25年間）</t>
    <phoneticPr fontId="28"/>
  </si>
  <si>
    <t>20年平均</t>
    <rPh sb="2" eb="3">
      <t>ネン</t>
    </rPh>
    <rPh sb="3" eb="5">
      <t>ヘイキン</t>
    </rPh>
    <phoneticPr fontId="28"/>
  </si>
  <si>
    <t>25年平均</t>
    <rPh sb="2" eb="3">
      <t>ネン</t>
    </rPh>
    <rPh sb="3" eb="5">
      <t>ヘイキン</t>
    </rPh>
    <phoneticPr fontId="28"/>
  </si>
  <si>
    <t>初期投資総額</t>
    <rPh sb="0" eb="2">
      <t>ショキ</t>
    </rPh>
    <rPh sb="2" eb="4">
      <t>トウシ</t>
    </rPh>
    <rPh sb="4" eb="6">
      <t>ソウガク</t>
    </rPh>
    <phoneticPr fontId="28"/>
  </si>
  <si>
    <t>円/箇所</t>
    <rPh sb="2" eb="4">
      <t>カショ</t>
    </rPh>
    <phoneticPr fontId="28"/>
  </si>
  <si>
    <t>消費税額</t>
    <rPh sb="0" eb="2">
      <t>ショウヒ</t>
    </rPh>
    <rPh sb="2" eb="4">
      <t>ゼイガク</t>
    </rPh>
    <phoneticPr fontId="28"/>
  </si>
  <si>
    <t>経費単価上昇率</t>
    <rPh sb="0" eb="2">
      <t>ケイヒ</t>
    </rPh>
    <rPh sb="2" eb="4">
      <t>タンカ</t>
    </rPh>
    <rPh sb="4" eb="6">
      <t>ジョウショウ</t>
    </rPh>
    <rPh sb="6" eb="7">
      <t>リツ</t>
    </rPh>
    <phoneticPr fontId="28"/>
  </si>
  <si>
    <t>グリーン電力証書/再エネクレジット</t>
    <rPh sb="4" eb="8">
      <t>デンリョクショウショ</t>
    </rPh>
    <rPh sb="9" eb="10">
      <t>サイ</t>
    </rPh>
    <phoneticPr fontId="28"/>
  </si>
  <si>
    <t>税引き前利益累積損益</t>
    <rPh sb="0" eb="2">
      <t>ゼイビ</t>
    </rPh>
    <rPh sb="3" eb="4">
      <t>マエ</t>
    </rPh>
    <rPh sb="4" eb="6">
      <t>リエキ</t>
    </rPh>
    <rPh sb="6" eb="8">
      <t>ルイセキ</t>
    </rPh>
    <rPh sb="8" eb="10">
      <t>ソンエキ</t>
    </rPh>
    <phoneticPr fontId="28"/>
  </si>
  <si>
    <t>計測監視作業代</t>
    <rPh sb="0" eb="2">
      <t>ケイソク</t>
    </rPh>
    <rPh sb="2" eb="4">
      <t>カンシ</t>
    </rPh>
    <rPh sb="4" eb="6">
      <t>サギョウ</t>
    </rPh>
    <rPh sb="6" eb="7">
      <t>ダイ</t>
    </rPh>
    <phoneticPr fontId="28"/>
  </si>
  <si>
    <t>土地、屋根の賃借期間</t>
    <phoneticPr fontId="28"/>
  </si>
  <si>
    <t>年</t>
    <rPh sb="0" eb="1">
      <t>ネン</t>
    </rPh>
    <phoneticPr fontId="28"/>
  </si>
  <si>
    <t>毎年のPV効率低下率</t>
    <rPh sb="0" eb="2">
      <t>マイトシ</t>
    </rPh>
    <rPh sb="5" eb="7">
      <t>コウリツ</t>
    </rPh>
    <rPh sb="7" eb="9">
      <t>テイカ</t>
    </rPh>
    <rPh sb="9" eb="10">
      <t>リツ</t>
    </rPh>
    <phoneticPr fontId="28"/>
  </si>
  <si>
    <t>データ通信費</t>
    <rPh sb="3" eb="5">
      <t>ツウシン</t>
    </rPh>
    <rPh sb="5" eb="6">
      <t>ヒ</t>
    </rPh>
    <phoneticPr fontId="10"/>
  </si>
  <si>
    <t>全量買取制度下では該当せず</t>
    <rPh sb="0" eb="2">
      <t>ゼンリョウ</t>
    </rPh>
    <rPh sb="2" eb="4">
      <t>カイトリ</t>
    </rPh>
    <rPh sb="4" eb="5">
      <t>セイ</t>
    </rPh>
    <rPh sb="5" eb="6">
      <t>ド</t>
    </rPh>
    <rPh sb="6" eb="7">
      <t>シタ</t>
    </rPh>
    <rPh sb="9" eb="11">
      <t>ガイトウ</t>
    </rPh>
    <phoneticPr fontId="28"/>
  </si>
  <si>
    <t>円/年</t>
    <rPh sb="0" eb="1">
      <t>エン</t>
    </rPh>
    <rPh sb="2" eb="3">
      <t>ネン</t>
    </rPh>
    <phoneticPr fontId="28"/>
  </si>
  <si>
    <t>←1年当たり-1箇所につきの金額</t>
    <rPh sb="3" eb="4">
      <t>ア</t>
    </rPh>
    <rPh sb="14" eb="16">
      <t>キンガク</t>
    </rPh>
    <phoneticPr fontId="28"/>
  </si>
  <si>
    <t>項目</t>
    <rPh sb="0" eb="2">
      <t>コウモク</t>
    </rPh>
    <phoneticPr fontId="28"/>
  </si>
  <si>
    <t>売電単価</t>
    <rPh sb="0" eb="2">
      <t>バイデン</t>
    </rPh>
    <rPh sb="2" eb="4">
      <t>タンカ</t>
    </rPh>
    <phoneticPr fontId="28"/>
  </si>
  <si>
    <t>電気主任技術者点検費用</t>
    <rPh sb="0" eb="2">
      <t>ﾃﾞﾝｷ</t>
    </rPh>
    <rPh sb="2" eb="4">
      <t>ｼｭﾆﾝ</t>
    </rPh>
    <rPh sb="4" eb="7">
      <t>ｷﾞｼﾞｭﾂｼｬ</t>
    </rPh>
    <rPh sb="7" eb="9">
      <t>ﾃﾝｹﾝ</t>
    </rPh>
    <rPh sb="9" eb="11">
      <t>ﾋﾖｳ</t>
    </rPh>
    <phoneticPr fontId="9" type="noConversion"/>
  </si>
  <si>
    <t>円/㎡・年</t>
    <rPh sb="0" eb="1">
      <t>エン</t>
    </rPh>
    <rPh sb="4" eb="5">
      <t>ネン</t>
    </rPh>
    <phoneticPr fontId="28"/>
  </si>
  <si>
    <t>利益</t>
    <rPh sb="0" eb="2">
      <t>リエキ</t>
    </rPh>
    <phoneticPr fontId="28"/>
  </si>
  <si>
    <t>プラントシステム設計費</t>
    <rPh sb="8" eb="10">
      <t>セッケイ</t>
    </rPh>
    <rPh sb="10" eb="11">
      <t>ヒ</t>
    </rPh>
    <phoneticPr fontId="28"/>
  </si>
  <si>
    <t>出資比率</t>
    <rPh sb="0" eb="2">
      <t>しゅっし</t>
    </rPh>
    <rPh sb="2" eb="4">
      <t>ひりつ</t>
    </rPh>
    <phoneticPr fontId="9" type="noConversion"/>
  </si>
  <si>
    <t>融資比率</t>
    <rPh sb="0" eb="2">
      <t>ゆうし</t>
    </rPh>
    <rPh sb="2" eb="4">
      <t>ひりつ</t>
    </rPh>
    <phoneticPr fontId="9" type="noConversion"/>
  </si>
  <si>
    <t>マイソーラー設備購入費</t>
    <rPh sb="6" eb="8">
      <t>せつび</t>
    </rPh>
    <rPh sb="8" eb="11">
      <t>こうにゅうひ</t>
    </rPh>
    <phoneticPr fontId="9" type="noConversion"/>
  </si>
  <si>
    <t>予想撤去費用↓↓</t>
    <rPh sb="0" eb="2">
      <t>よそう</t>
    </rPh>
    <rPh sb="2" eb="4">
      <t>てっきょ</t>
    </rPh>
    <rPh sb="4" eb="6">
      <t>ひよう</t>
    </rPh>
    <phoneticPr fontId="9" type="noConversion"/>
  </si>
  <si>
    <t>投資元本回収年数</t>
    <rPh sb="0" eb="2">
      <t>とうし</t>
    </rPh>
    <rPh sb="2" eb="4">
      <t>がんぽん</t>
    </rPh>
    <rPh sb="4" eb="6">
      <t>かいしゅう</t>
    </rPh>
    <rPh sb="6" eb="8">
      <t>ねんすう</t>
    </rPh>
    <phoneticPr fontId="9" type="noConversion"/>
  </si>
  <si>
    <t>初期投資　　　　　　設置ＫＷ数--＞</t>
    <rPh sb="10" eb="12">
      <t>せっち</t>
    </rPh>
    <rPh sb="14" eb="15">
      <t>すう</t>
    </rPh>
    <phoneticPr fontId="9" type="noConversion"/>
  </si>
  <si>
    <t>電力取引所でのソーラー電力従量料金売買単価　初年度</t>
    <rPh sb="0" eb="2">
      <t>デンリョク</t>
    </rPh>
    <rPh sb="2" eb="4">
      <t>トリヒキ</t>
    </rPh>
    <rPh sb="4" eb="5">
      <t>ジョ</t>
    </rPh>
    <rPh sb="11" eb="13">
      <t>デンリョク</t>
    </rPh>
    <rPh sb="13" eb="15">
      <t>ジュウリョウ</t>
    </rPh>
    <rPh sb="15" eb="17">
      <t>リョウキン</t>
    </rPh>
    <rPh sb="17" eb="19">
      <t>バイバイ</t>
    </rPh>
    <rPh sb="19" eb="21">
      <t>タンカ</t>
    </rPh>
    <rPh sb="22" eb="25">
      <t>ショネンド</t>
    </rPh>
    <phoneticPr fontId="28"/>
  </si>
  <si>
    <t>全量買取制度下においての外販時単価</t>
    <rPh sb="0" eb="1">
      <t>ゼン</t>
    </rPh>
    <rPh sb="1" eb="2">
      <t>リョウ</t>
    </rPh>
    <rPh sb="2" eb="4">
      <t>カイトリ</t>
    </rPh>
    <rPh sb="4" eb="6">
      <t>セイド</t>
    </rPh>
    <rPh sb="6" eb="7">
      <t>カ</t>
    </rPh>
    <rPh sb="12" eb="14">
      <t>ガイハン</t>
    </rPh>
    <rPh sb="14" eb="15">
      <t>ジ</t>
    </rPh>
    <rPh sb="15" eb="17">
      <t>タンカ</t>
    </rPh>
    <phoneticPr fontId="28"/>
  </si>
  <si>
    <t>PV効率低下率</t>
    <phoneticPr fontId="28"/>
  </si>
  <si>
    <t>取引所での電力単価</t>
    <rPh sb="0" eb="2">
      <t>トリヒキ</t>
    </rPh>
    <rPh sb="2" eb="3">
      <t>ジョ</t>
    </rPh>
    <rPh sb="5" eb="7">
      <t>デンリョク</t>
    </rPh>
    <rPh sb="7" eb="9">
      <t>タンカ</t>
    </rPh>
    <phoneticPr fontId="10"/>
  </si>
  <si>
    <t>全量買取制度下での電力外販単価</t>
    <rPh sb="0" eb="2">
      <t>ゼンリョウ</t>
    </rPh>
    <rPh sb="2" eb="4">
      <t>カイトリ</t>
    </rPh>
    <rPh sb="4" eb="5">
      <t>セイ</t>
    </rPh>
    <rPh sb="5" eb="6">
      <t>ド</t>
    </rPh>
    <rPh sb="6" eb="7">
      <t>カ</t>
    </rPh>
    <rPh sb="9" eb="11">
      <t>デンリョク</t>
    </rPh>
    <rPh sb="11" eb="13">
      <t>ガイハン</t>
    </rPh>
    <rPh sb="13" eb="15">
      <t>タンカ</t>
    </rPh>
    <phoneticPr fontId="10"/>
  </si>
  <si>
    <t>25年間の合計</t>
    <rPh sb="2" eb="4">
      <t>ネンカン</t>
    </rPh>
    <rPh sb="5" eb="7">
      <t>ゴウケイ</t>
    </rPh>
    <phoneticPr fontId="28"/>
  </si>
  <si>
    <t>25年間合計</t>
    <rPh sb="2" eb="3">
      <t>ねん</t>
    </rPh>
    <rPh sb="3" eb="4">
      <t>かん</t>
    </rPh>
    <rPh sb="4" eb="5">
      <t>ごう</t>
    </rPh>
    <phoneticPr fontId="9" type="noConversion"/>
  </si>
  <si>
    <t>設置容量</t>
    <rPh sb="0" eb="2">
      <t>セッチ</t>
    </rPh>
    <rPh sb="2" eb="4">
      <t>ヨウリョウ</t>
    </rPh>
    <phoneticPr fontId="28"/>
  </si>
  <si>
    <t>初期投資　　　　　　　　　　設置ＫＷ数--＞</t>
    <phoneticPr fontId="28"/>
  </si>
  <si>
    <t>単位</t>
    <phoneticPr fontId="28"/>
  </si>
  <si>
    <t>初期投資設備費用</t>
    <rPh sb="4" eb="6">
      <t>セツビ</t>
    </rPh>
    <rPh sb="6" eb="8">
      <t>ヒヨウ</t>
    </rPh>
    <phoneticPr fontId="28"/>
  </si>
  <si>
    <t>設置容量⇒</t>
    <rPh sb="0" eb="2">
      <t>セッチ</t>
    </rPh>
    <rPh sb="2" eb="4">
      <t>ヨウリョウ</t>
    </rPh>
    <phoneticPr fontId="28"/>
  </si>
  <si>
    <t>予想損益計算書（25年間毎年の数字）</t>
    <rPh sb="0" eb="2">
      <t>よそう</t>
    </rPh>
    <rPh sb="2" eb="4">
      <t>そんえき</t>
    </rPh>
    <rPh sb="4" eb="7">
      <t>けいさんしょ</t>
    </rPh>
    <rPh sb="10" eb="12">
      <t>ねんかん</t>
    </rPh>
    <rPh sb="12" eb="14">
      <t>まいとし</t>
    </rPh>
    <rPh sb="15" eb="17">
      <t>すうじ</t>
    </rPh>
    <phoneticPr fontId="9" type="noConversion"/>
  </si>
  <si>
    <t>予想キャッシュフロー計算書（25年間毎年の数字）</t>
    <rPh sb="0" eb="2">
      <t>よそう</t>
    </rPh>
    <rPh sb="10" eb="13">
      <t>ｹｲｻﾝｼｮ</t>
    </rPh>
    <rPh sb="16" eb="17">
      <t>ねん</t>
    </rPh>
    <rPh sb="17" eb="18">
      <t>かん</t>
    </rPh>
    <rPh sb="18" eb="20">
      <t>まいとし</t>
    </rPh>
    <rPh sb="21" eb="23">
      <t>すうじ</t>
    </rPh>
    <phoneticPr fontId="9" type="noConversion"/>
  </si>
  <si>
    <t>自己資金投資利回り</t>
    <rPh sb="0" eb="2">
      <t>ジコ</t>
    </rPh>
    <rPh sb="2" eb="4">
      <t>シキン</t>
    </rPh>
    <rPh sb="4" eb="6">
      <t>トウシ</t>
    </rPh>
    <rPh sb="6" eb="8">
      <t>リマワ</t>
    </rPh>
    <phoneticPr fontId="28"/>
  </si>
  <si>
    <t>総資産投資利回り</t>
    <rPh sb="0" eb="3">
      <t>ソウシサン</t>
    </rPh>
    <rPh sb="3" eb="5">
      <t>トウシ</t>
    </rPh>
    <rPh sb="5" eb="7">
      <t>リマワ</t>
    </rPh>
    <phoneticPr fontId="28"/>
  </si>
  <si>
    <t>修繕・部品交換代</t>
    <phoneticPr fontId="9" type="noConversion"/>
  </si>
  <si>
    <t>予想売電収入表（25年間毎年）</t>
    <rPh sb="0" eb="2">
      <t>ヨソウ</t>
    </rPh>
    <rPh sb="2" eb="4">
      <t>バイデン</t>
    </rPh>
    <rPh sb="4" eb="6">
      <t>シュウニュウ</t>
    </rPh>
    <rPh sb="6" eb="7">
      <t>ヒョウ</t>
    </rPh>
    <rPh sb="12" eb="14">
      <t>マイトシ</t>
    </rPh>
    <phoneticPr fontId="28"/>
  </si>
  <si>
    <t>自己資金投資利回り（税引き前）</t>
    <rPh sb="3" eb="4">
      <t>キン</t>
    </rPh>
    <phoneticPr fontId="28"/>
  </si>
  <si>
    <t>自己資金ＩＲＲ（税引き前20年）</t>
    <rPh sb="3" eb="4">
      <t>キン</t>
    </rPh>
    <phoneticPr fontId="28"/>
  </si>
  <si>
    <t>自己資金ＩＲＲ（税引き前25年間）</t>
    <rPh sb="3" eb="4">
      <t>キン</t>
    </rPh>
    <phoneticPr fontId="28"/>
  </si>
  <si>
    <t>自己資金投資金額</t>
    <rPh sb="0" eb="2">
      <t>じこ</t>
    </rPh>
    <rPh sb="2" eb="4">
      <t>しきん</t>
    </rPh>
    <rPh sb="4" eb="6">
      <t>とうし</t>
    </rPh>
    <rPh sb="6" eb="8">
      <t>きんがく</t>
    </rPh>
    <phoneticPr fontId="9" type="noConversion"/>
  </si>
  <si>
    <t>設備+工事一式合計金額</t>
    <rPh sb="3" eb="5">
      <t>コウジ</t>
    </rPh>
    <rPh sb="5" eb="7">
      <t>イッシキ</t>
    </rPh>
    <rPh sb="7" eb="9">
      <t>ゴウケイ</t>
    </rPh>
    <rPh sb="9" eb="11">
      <t>キンガク</t>
    </rPh>
    <phoneticPr fontId="28"/>
  </si>
  <si>
    <t>自己資金投資額（＝上記ｘ出資比率）</t>
    <rPh sb="0" eb="2">
      <t>じこ</t>
    </rPh>
    <rPh sb="2" eb="4">
      <t>しきん</t>
    </rPh>
    <rPh sb="4" eb="6">
      <t>とうし</t>
    </rPh>
    <rPh sb="6" eb="7">
      <t>がく</t>
    </rPh>
    <rPh sb="9" eb="11">
      <t>じょうき</t>
    </rPh>
    <rPh sb="12" eb="14">
      <t>しゅっし</t>
    </rPh>
    <rPh sb="14" eb="16">
      <t>ひりつ</t>
    </rPh>
    <phoneticPr fontId="9" type="noConversion"/>
  </si>
  <si>
    <t>投資自己資金の何倍を回収できるか（２５年間で）</t>
    <rPh sb="0" eb="2">
      <t>とうし</t>
    </rPh>
    <rPh sb="2" eb="4">
      <t>じこ</t>
    </rPh>
    <rPh sb="4" eb="6">
      <t>しきん</t>
    </rPh>
    <rPh sb="7" eb="8">
      <t>なん</t>
    </rPh>
    <rPh sb="8" eb="9">
      <t>ﾊﾞｲ</t>
    </rPh>
    <rPh sb="10" eb="12">
      <t>ｶｲｼｭｳ</t>
    </rPh>
    <rPh sb="19" eb="20">
      <t>ねん</t>
    </rPh>
    <rPh sb="20" eb="21">
      <t>かん</t>
    </rPh>
    <phoneticPr fontId="9" type="noConversion"/>
  </si>
  <si>
    <r>
      <rPr>
        <b/>
        <sz val="11"/>
        <color rgb="FFFF0000"/>
        <rFont val="ＭＳ Ｐゴシック"/>
        <family val="3"/>
        <charset val="128"/>
      </rPr>
      <t>投資自己資金の何倍を回収できるか</t>
    </r>
    <r>
      <rPr>
        <b/>
        <sz val="11"/>
        <color rgb="FF0000FF"/>
        <rFont val="ＭＳ Ｐゴシック"/>
        <family val="3"/>
        <charset val="128"/>
      </rPr>
      <t>（２５年間で）</t>
    </r>
    <rPh sb="2" eb="4">
      <t>じこ</t>
    </rPh>
    <rPh sb="4" eb="6">
      <t>しきん</t>
    </rPh>
    <rPh sb="7" eb="9">
      <t>なんばい</t>
    </rPh>
    <rPh sb="19" eb="21">
      <t>ﾈﾝｶﾝ</t>
    </rPh>
    <phoneticPr fontId="9" type="noConversion"/>
  </si>
  <si>
    <t>太陽光発電設備購入者が申告し支払うべき発電設備に賦課される償却資産税額</t>
    <rPh sb="0" eb="3">
      <t>タイヨウコウ</t>
    </rPh>
    <rPh sb="3" eb="5">
      <t>ハツデン</t>
    </rPh>
    <rPh sb="5" eb="7">
      <t>セツビ</t>
    </rPh>
    <rPh sb="7" eb="10">
      <t>コウニュウシャ</t>
    </rPh>
    <rPh sb="11" eb="13">
      <t>シンコク</t>
    </rPh>
    <rPh sb="14" eb="16">
      <t>シハラ</t>
    </rPh>
    <rPh sb="19" eb="21">
      <t>ハツデン</t>
    </rPh>
    <rPh sb="21" eb="23">
      <t>セツビ</t>
    </rPh>
    <rPh sb="24" eb="26">
      <t>フカ</t>
    </rPh>
    <rPh sb="29" eb="31">
      <t>ショウキャク</t>
    </rPh>
    <rPh sb="31" eb="34">
      <t>シサンゼイ</t>
    </rPh>
    <rPh sb="34" eb="35">
      <t>ガク</t>
    </rPh>
    <phoneticPr fontId="28"/>
  </si>
  <si>
    <t>償却資産税評価額</t>
    <rPh sb="0" eb="2">
      <t>ショウキャク</t>
    </rPh>
    <rPh sb="2" eb="4">
      <t>シサン</t>
    </rPh>
    <rPh sb="4" eb="5">
      <t>ゼイ</t>
    </rPh>
    <rPh sb="5" eb="7">
      <t>ヒョウカ</t>
    </rPh>
    <rPh sb="7" eb="8">
      <t>ガク</t>
    </rPh>
    <phoneticPr fontId="28"/>
  </si>
  <si>
    <t>償却資産税額</t>
    <rPh sb="0" eb="2">
      <t>ショウキャク</t>
    </rPh>
    <rPh sb="2" eb="4">
      <t>シサン</t>
    </rPh>
    <rPh sb="4" eb="5">
      <t>ゼイ</t>
    </rPh>
    <rPh sb="5" eb="6">
      <t>ガク</t>
    </rPh>
    <phoneticPr fontId="28"/>
  </si>
  <si>
    <t>合計</t>
    <rPh sb="0" eb="2">
      <t>ゴウケイ</t>
    </rPh>
    <phoneticPr fontId="28"/>
  </si>
  <si>
    <t>売電量</t>
    <rPh sb="0" eb="2">
      <t>ばいでん</t>
    </rPh>
    <rPh sb="2" eb="3">
      <t>りょう</t>
    </rPh>
    <phoneticPr fontId="9" type="noConversion"/>
  </si>
  <si>
    <t>変動幅</t>
    <rPh sb="0" eb="3">
      <t>へんどうはば</t>
    </rPh>
    <phoneticPr fontId="9" type="noConversion"/>
  </si>
  <si>
    <t>ＭＩＮ</t>
    <phoneticPr fontId="9" type="noConversion"/>
  </si>
  <si>
    <t>ＡＶＥ</t>
    <phoneticPr fontId="9" type="noConversion"/>
  </si>
  <si>
    <t>ＭＡＸ</t>
    <phoneticPr fontId="9" type="noConversion"/>
  </si>
  <si>
    <t>売電売上</t>
    <rPh sb="0" eb="2">
      <t>ばいでん</t>
    </rPh>
    <rPh sb="2" eb="4">
      <t>うりあげ</t>
    </rPh>
    <phoneticPr fontId="9" type="noConversion"/>
  </si>
  <si>
    <t>諸経費自己資金　25％時</t>
    <rPh sb="0" eb="3">
      <t>しょけいひ</t>
    </rPh>
    <rPh sb="3" eb="5">
      <t>じこ</t>
    </rPh>
    <rPh sb="5" eb="7">
      <t>しきん</t>
    </rPh>
    <rPh sb="11" eb="12">
      <t>じ</t>
    </rPh>
    <phoneticPr fontId="9" type="noConversion"/>
  </si>
  <si>
    <t>諸経費自己資金　100％時</t>
    <rPh sb="0" eb="3">
      <t>しょけいひ</t>
    </rPh>
    <rPh sb="3" eb="5">
      <t>じこ</t>
    </rPh>
    <rPh sb="5" eb="7">
      <t>しきん</t>
    </rPh>
    <rPh sb="12" eb="13">
      <t>じ</t>
    </rPh>
    <phoneticPr fontId="9" type="noConversion"/>
  </si>
  <si>
    <t>利益(100％時）</t>
    <rPh sb="0" eb="2">
      <t>りえき</t>
    </rPh>
    <rPh sb="7" eb="8">
      <t>じ</t>
    </rPh>
    <phoneticPr fontId="9" type="noConversion"/>
  </si>
  <si>
    <t>利益(25％時）</t>
    <rPh sb="0" eb="2">
      <t>りえき</t>
    </rPh>
    <rPh sb="6" eb="7">
      <t>じ</t>
    </rPh>
    <phoneticPr fontId="9" type="noConversion"/>
  </si>
  <si>
    <t>自己資金投資利回り(100％時）</t>
    <rPh sb="0" eb="2">
      <t>じこ</t>
    </rPh>
    <rPh sb="2" eb="4">
      <t>しきん</t>
    </rPh>
    <rPh sb="4" eb="6">
      <t>とうし</t>
    </rPh>
    <rPh sb="6" eb="8">
      <t>りまわ</t>
    </rPh>
    <rPh sb="14" eb="15">
      <t>じ</t>
    </rPh>
    <phoneticPr fontId="9" type="noConversion"/>
  </si>
  <si>
    <t>自己資金投資利回り(25％時）</t>
    <rPh sb="0" eb="2">
      <t>じこ</t>
    </rPh>
    <rPh sb="2" eb="4">
      <t>しきん</t>
    </rPh>
    <rPh sb="4" eb="6">
      <t>とうし</t>
    </rPh>
    <rPh sb="6" eb="8">
      <t>りまわ</t>
    </rPh>
    <rPh sb="13" eb="14">
      <t>じ</t>
    </rPh>
    <phoneticPr fontId="9" type="noConversion"/>
  </si>
  <si>
    <t>自己資金投資額(100％時）</t>
    <rPh sb="0" eb="2">
      <t>じこ</t>
    </rPh>
    <rPh sb="2" eb="4">
      <t>しきん</t>
    </rPh>
    <rPh sb="4" eb="6">
      <t>とうし</t>
    </rPh>
    <rPh sb="6" eb="7">
      <t>がく</t>
    </rPh>
    <rPh sb="12" eb="13">
      <t>じ</t>
    </rPh>
    <phoneticPr fontId="9" type="noConversion"/>
  </si>
  <si>
    <t>自己資金投資額25％時）</t>
    <rPh sb="0" eb="2">
      <t>じこ</t>
    </rPh>
    <rPh sb="2" eb="4">
      <t>しきん</t>
    </rPh>
    <rPh sb="4" eb="6">
      <t>とうし</t>
    </rPh>
    <rPh sb="6" eb="7">
      <t>がく</t>
    </rPh>
    <rPh sb="10" eb="11">
      <t>じ</t>
    </rPh>
    <phoneticPr fontId="9" type="noConversion"/>
  </si>
  <si>
    <t>法人所得税率</t>
    <rPh sb="0" eb="2">
      <t>ホウジン</t>
    </rPh>
    <rPh sb="2" eb="5">
      <t>ショトクゼイ</t>
    </rPh>
    <rPh sb="5" eb="6">
      <t>リツ</t>
    </rPh>
    <phoneticPr fontId="28"/>
  </si>
  <si>
    <t>式</t>
    <rPh sb="0" eb="1">
      <t>シキ</t>
    </rPh>
    <phoneticPr fontId="46"/>
  </si>
  <si>
    <t>台</t>
    <rPh sb="0" eb="1">
      <t>ダイ</t>
    </rPh>
    <phoneticPr fontId="46"/>
  </si>
  <si>
    <t>工事費</t>
    <rPh sb="0" eb="3">
      <t>コウジヒ</t>
    </rPh>
    <phoneticPr fontId="28"/>
  </si>
  <si>
    <t>項目</t>
    <rPh sb="0" eb="2">
      <t>コウモク</t>
    </rPh>
    <phoneticPr fontId="28"/>
  </si>
  <si>
    <t>単価</t>
    <rPh sb="0" eb="2">
      <t>タンカ</t>
    </rPh>
    <phoneticPr fontId="28"/>
  </si>
  <si>
    <t>初期投資単価</t>
    <rPh sb="0" eb="2">
      <t>ショキ</t>
    </rPh>
    <rPh sb="2" eb="4">
      <t>トウシ</t>
    </rPh>
    <rPh sb="4" eb="6">
      <t>タンカ</t>
    </rPh>
    <phoneticPr fontId="28"/>
  </si>
  <si>
    <t>初期投資前提条件</t>
    <rPh sb="0" eb="2">
      <t>ショキ</t>
    </rPh>
    <rPh sb="2" eb="4">
      <t>トウシ</t>
    </rPh>
    <rPh sb="4" eb="6">
      <t>ゼンテイ</t>
    </rPh>
    <rPh sb="6" eb="8">
      <t>ジョウケン</t>
    </rPh>
    <phoneticPr fontId="28"/>
  </si>
  <si>
    <t>設備費用</t>
    <rPh sb="0" eb="2">
      <t>セツビ</t>
    </rPh>
    <rPh sb="2" eb="4">
      <t>ヒヨウ</t>
    </rPh>
    <phoneticPr fontId="28"/>
  </si>
  <si>
    <t>毎年の経費</t>
    <rPh sb="0" eb="2">
      <t>マイトシ</t>
    </rPh>
    <rPh sb="3" eb="5">
      <t>ケイヒ</t>
    </rPh>
    <phoneticPr fontId="28"/>
  </si>
  <si>
    <t>条件</t>
    <rPh sb="0" eb="2">
      <t>ジョウケン</t>
    </rPh>
    <phoneticPr fontId="28"/>
  </si>
  <si>
    <t>自己資金比率➡</t>
    <rPh sb="0" eb="4">
      <t>ジコシキン</t>
    </rPh>
    <rPh sb="4" eb="6">
      <t>ヒリツ</t>
    </rPh>
    <phoneticPr fontId="28"/>
  </si>
  <si>
    <t>税前投資額合計</t>
    <rPh sb="0" eb="1">
      <t>ゼイ</t>
    </rPh>
    <rPh sb="1" eb="2">
      <t>マエ</t>
    </rPh>
    <rPh sb="2" eb="4">
      <t>トウシ</t>
    </rPh>
    <rPh sb="4" eb="5">
      <t>ガク</t>
    </rPh>
    <rPh sb="5" eb="7">
      <t>ゴウケイ</t>
    </rPh>
    <phoneticPr fontId="28"/>
  </si>
  <si>
    <t>毎年の経費・収支算定条件など</t>
    <rPh sb="0" eb="2">
      <t>マイトシ</t>
    </rPh>
    <rPh sb="3" eb="5">
      <t>ケイヒ</t>
    </rPh>
    <rPh sb="6" eb="8">
      <t>シュウシ</t>
    </rPh>
    <rPh sb="8" eb="10">
      <t>サンテイ</t>
    </rPh>
    <rPh sb="10" eb="12">
      <t>ジョウケン</t>
    </rPh>
    <phoneticPr fontId="28"/>
  </si>
  <si>
    <t>コスト単価</t>
    <rPh sb="3" eb="5">
      <t>タンカ</t>
    </rPh>
    <phoneticPr fontId="28"/>
  </si>
  <si>
    <t>コスト総額</t>
    <rPh sb="3" eb="5">
      <t>ソウガク</t>
    </rPh>
    <phoneticPr fontId="28"/>
  </si>
  <si>
    <t>数量</t>
    <rPh sb="0" eb="2">
      <t>スウリョウ</t>
    </rPh>
    <phoneticPr fontId="28"/>
  </si>
  <si>
    <t>単位</t>
    <rPh sb="0" eb="2">
      <t>タンイ</t>
    </rPh>
    <phoneticPr fontId="28"/>
  </si>
  <si>
    <t>kw</t>
  </si>
  <si>
    <t>太陽光パネル</t>
    <phoneticPr fontId="28"/>
  </si>
  <si>
    <t>円/kW</t>
    <phoneticPr fontId="28"/>
  </si>
  <si>
    <t>小計</t>
    <rPh sb="0" eb="2">
      <t>ショウケイ</t>
    </rPh>
    <phoneticPr fontId="28"/>
  </si>
  <si>
    <t>円/一式</t>
    <rPh sb="0" eb="1">
      <t>エン</t>
    </rPh>
    <rPh sb="2" eb="3">
      <t>イチ</t>
    </rPh>
    <rPh sb="3" eb="4">
      <t>シキ</t>
    </rPh>
    <phoneticPr fontId="28"/>
  </si>
  <si>
    <t>式</t>
    <rPh sb="0" eb="1">
      <t>シキ</t>
    </rPh>
    <phoneticPr fontId="28"/>
  </si>
  <si>
    <t>契約</t>
    <rPh sb="0" eb="2">
      <t>ケイヤク</t>
    </rPh>
    <phoneticPr fontId="28"/>
  </si>
  <si>
    <t>償却後の簿価額</t>
    <rPh sb="0" eb="2">
      <t>ｼｮｳｷｬｸ</t>
    </rPh>
    <rPh sb="2" eb="3">
      <t>ｺﾞ</t>
    </rPh>
    <rPh sb="4" eb="6">
      <t>ﾎﾞｶ</t>
    </rPh>
    <rPh sb="6" eb="7">
      <t>ｶﾞｸ</t>
    </rPh>
    <phoneticPr fontId="9" type="noConversion"/>
  </si>
  <si>
    <t>予想キャッシュフロー計算書（5年毎）</t>
    <rPh sb="0" eb="2">
      <t>よそう</t>
    </rPh>
    <rPh sb="10" eb="13">
      <t>ｹｲｻﾝｼｮ</t>
    </rPh>
    <rPh sb="15" eb="16">
      <t>ねん</t>
    </rPh>
    <rPh sb="16" eb="17">
      <t>ごと</t>
    </rPh>
    <phoneticPr fontId="9" type="noConversion"/>
  </si>
  <si>
    <t>要約版</t>
    <phoneticPr fontId="9" type="noConversion"/>
  </si>
  <si>
    <t>土地の賃料</t>
    <phoneticPr fontId="28"/>
  </si>
  <si>
    <t>20年後の現状復帰費用積み立て</t>
    <rPh sb="2" eb="4">
      <t>ねんご</t>
    </rPh>
    <rPh sb="5" eb="7">
      <t>げんじょう</t>
    </rPh>
    <rPh sb="7" eb="9">
      <t>ふっき</t>
    </rPh>
    <rPh sb="9" eb="11">
      <t>ひよう</t>
    </rPh>
    <rPh sb="11" eb="12">
      <t>つ</t>
    </rPh>
    <rPh sb="13" eb="14">
      <t>た</t>
    </rPh>
    <phoneticPr fontId="9" type="noConversion"/>
  </si>
  <si>
    <t>円/式</t>
    <rPh sb="0" eb="1">
      <t>エン</t>
    </rPh>
    <rPh sb="2" eb="3">
      <t>シキ</t>
    </rPh>
    <phoneticPr fontId="28"/>
  </si>
  <si>
    <t>円/式</t>
    <rPh sb="2" eb="3">
      <t>シキ</t>
    </rPh>
    <phoneticPr fontId="28"/>
  </si>
  <si>
    <t>無線通信費用(年額）+サーバー利用料</t>
    <rPh sb="0" eb="2">
      <t>ムセン</t>
    </rPh>
    <rPh sb="2" eb="4">
      <t>ツウシン</t>
    </rPh>
    <rPh sb="4" eb="6">
      <t>ヒヨウ</t>
    </rPh>
    <rPh sb="7" eb="8">
      <t>ネン</t>
    </rPh>
    <rPh sb="8" eb="9">
      <t>ガク</t>
    </rPh>
    <rPh sb="15" eb="18">
      <t>リヨウリョウ</t>
    </rPh>
    <phoneticPr fontId="28"/>
  </si>
  <si>
    <t>/kw</t>
    <phoneticPr fontId="28"/>
  </si>
  <si>
    <t>国税（法人税）</t>
    <rPh sb="0" eb="2">
      <t>ｺｸｾﾞｲ</t>
    </rPh>
    <rPh sb="3" eb="6">
      <t>ほうじんぜい</t>
    </rPh>
    <phoneticPr fontId="9" type="noConversion"/>
  </si>
  <si>
    <t>県税（法人事業税・電気ガス）</t>
    <rPh sb="0" eb="1">
      <t>けん</t>
    </rPh>
    <rPh sb="1" eb="2">
      <t>ぜい</t>
    </rPh>
    <rPh sb="3" eb="5">
      <t>ほうじん</t>
    </rPh>
    <rPh sb="5" eb="8">
      <t>じぎょうぜい</t>
    </rPh>
    <rPh sb="9" eb="11">
      <t>でんき</t>
    </rPh>
    <phoneticPr fontId="9" type="noConversion"/>
  </si>
  <si>
    <t>法人事業税率（県税）</t>
    <rPh sb="0" eb="2">
      <t>ホウジン</t>
    </rPh>
    <rPh sb="2" eb="5">
      <t>ジギョウゼイ</t>
    </rPh>
    <rPh sb="5" eb="6">
      <t>リツ</t>
    </rPh>
    <rPh sb="7" eb="8">
      <t>ケン</t>
    </rPh>
    <rPh sb="8" eb="9">
      <t>ゼイ</t>
    </rPh>
    <phoneticPr fontId="28"/>
  </si>
  <si>
    <t>課税所得に対しての税率</t>
    <rPh sb="0" eb="2">
      <t>カゼイ</t>
    </rPh>
    <rPh sb="2" eb="4">
      <t>ショトク</t>
    </rPh>
    <rPh sb="5" eb="6">
      <t>タイ</t>
    </rPh>
    <rPh sb="9" eb="11">
      <t>ゼイリツ</t>
    </rPh>
    <phoneticPr fontId="28"/>
  </si>
  <si>
    <t>内部収益率（IRR)税前</t>
    <rPh sb="0" eb="2">
      <t>ないぶ</t>
    </rPh>
    <rPh sb="2" eb="4">
      <t>しゅうえき</t>
    </rPh>
    <rPh sb="4" eb="5">
      <t>りつ</t>
    </rPh>
    <rPh sb="10" eb="11">
      <t>ぜい</t>
    </rPh>
    <rPh sb="11" eb="12">
      <t>まえ</t>
    </rPh>
    <phoneticPr fontId="9" type="noConversion"/>
  </si>
  <si>
    <t>法人市民税</t>
    <rPh sb="0" eb="2">
      <t>ホウジン</t>
    </rPh>
    <rPh sb="2" eb="5">
      <t>シミンゼイ</t>
    </rPh>
    <phoneticPr fontId="28"/>
  </si>
  <si>
    <t>法人市民税</t>
    <rPh sb="0" eb="2">
      <t>ホウジン</t>
    </rPh>
    <rPh sb="2" eb="5">
      <t>シミンゼイ</t>
    </rPh>
    <phoneticPr fontId="28"/>
  </si>
  <si>
    <t>法人税の14.7％</t>
    <rPh sb="0" eb="3">
      <t>ホウジンゼイ</t>
    </rPh>
    <phoneticPr fontId="28"/>
  </si>
  <si>
    <t>法人県民税</t>
    <rPh sb="0" eb="2">
      <t>ホウジン</t>
    </rPh>
    <rPh sb="2" eb="5">
      <t>ケンミンゼイ</t>
    </rPh>
    <phoneticPr fontId="28"/>
  </si>
  <si>
    <t>法人税の5.8％</t>
    <rPh sb="0" eb="3">
      <t>ホウジンゼイ</t>
    </rPh>
    <phoneticPr fontId="28"/>
  </si>
  <si>
    <t>法人事業税（電気ガス）</t>
    <rPh sb="0" eb="2">
      <t>ほうじん</t>
    </rPh>
    <rPh sb="2" eb="5">
      <t>じぎょうぜい</t>
    </rPh>
    <rPh sb="6" eb="8">
      <t>でんき</t>
    </rPh>
    <phoneticPr fontId="9" type="noConversion"/>
  </si>
  <si>
    <t>法人県民税</t>
    <rPh sb="0" eb="2">
      <t>ﾎｳｼﾞﾝ</t>
    </rPh>
    <rPh sb="2" eb="5">
      <t>ｹﾝﾐﾝｾﾞｲ</t>
    </rPh>
    <phoneticPr fontId="9" type="noConversion"/>
  </si>
  <si>
    <t>法人市民税</t>
    <rPh sb="0" eb="2">
      <t>ﾎｳｼﾞﾝ</t>
    </rPh>
    <rPh sb="2" eb="5">
      <t>ｼﾐﾝｾﾞｲ</t>
    </rPh>
    <phoneticPr fontId="9" type="noConversion"/>
  </si>
  <si>
    <t>売電コスト</t>
    <rPh sb="0" eb="2">
      <t>ばいでん</t>
    </rPh>
    <phoneticPr fontId="9" type="noConversion"/>
  </si>
  <si>
    <t>20年間の合計</t>
    <rPh sb="2" eb="4">
      <t>ネンカン</t>
    </rPh>
    <rPh sb="5" eb="7">
      <t>ゴウケイ</t>
    </rPh>
    <phoneticPr fontId="28"/>
  </si>
  <si>
    <t>㎡</t>
    <phoneticPr fontId="28"/>
  </si>
  <si>
    <t>卸会社マージン率</t>
    <rPh sb="0" eb="1">
      <t>オロシ</t>
    </rPh>
    <rPh sb="1" eb="3">
      <t>カイシャ</t>
    </rPh>
    <rPh sb="7" eb="8">
      <t>リツ</t>
    </rPh>
    <phoneticPr fontId="28"/>
  </si>
  <si>
    <t>土地紹介コンサル料</t>
    <rPh sb="0" eb="2">
      <t>トチ</t>
    </rPh>
    <rPh sb="2" eb="4">
      <t>ショウカイ</t>
    </rPh>
    <rPh sb="8" eb="9">
      <t>リョウ</t>
    </rPh>
    <phoneticPr fontId="28"/>
  </si>
  <si>
    <t>自己資金投資額</t>
    <rPh sb="0" eb="2">
      <t>じこ</t>
    </rPh>
    <rPh sb="2" eb="4">
      <t>しきん</t>
    </rPh>
    <rPh sb="4" eb="6">
      <t>とうし</t>
    </rPh>
    <rPh sb="6" eb="7">
      <t>がく</t>
    </rPh>
    <phoneticPr fontId="9" type="noConversion"/>
  </si>
  <si>
    <t>その他経費</t>
    <rPh sb="2" eb="3">
      <t>タ</t>
    </rPh>
    <rPh sb="3" eb="5">
      <t>ケイヒ</t>
    </rPh>
    <phoneticPr fontId="28"/>
  </si>
  <si>
    <t>税込材工投資額合計</t>
    <rPh sb="0" eb="2">
      <t>ゼイコミ</t>
    </rPh>
    <rPh sb="2" eb="4">
      <t>ザイコウ</t>
    </rPh>
    <rPh sb="4" eb="6">
      <t>トウシ</t>
    </rPh>
    <rPh sb="6" eb="7">
      <t>ガク</t>
    </rPh>
    <rPh sb="7" eb="9">
      <t>ゴウケイ</t>
    </rPh>
    <phoneticPr fontId="28"/>
  </si>
  <si>
    <t>投資合計額</t>
    <rPh sb="0" eb="2">
      <t>トウシ</t>
    </rPh>
    <rPh sb="2" eb="4">
      <t>ゴウケイ</t>
    </rPh>
    <rPh sb="4" eb="5">
      <t>ガク</t>
    </rPh>
    <phoneticPr fontId="28"/>
  </si>
  <si>
    <r>
      <t>課税標準の軽減＝2/3に軽減無くなる。　</t>
    </r>
    <r>
      <rPr>
        <b/>
        <sz val="11"/>
        <color indexed="10"/>
        <rFont val="ＭＳ Ｐゴシック"/>
        <family val="3"/>
        <charset val="128"/>
      </rPr>
      <t>*1</t>
    </r>
    <rPh sb="0" eb="2">
      <t>カゼイ</t>
    </rPh>
    <rPh sb="2" eb="4">
      <t>ヒョウジュン</t>
    </rPh>
    <rPh sb="5" eb="7">
      <t>ケイゲン</t>
    </rPh>
    <rPh sb="12" eb="14">
      <t>ケイゲン</t>
    </rPh>
    <rPh sb="14" eb="15">
      <t>ナ</t>
    </rPh>
    <phoneticPr fontId="28"/>
  </si>
  <si>
    <r>
      <t>上記の軽減は最初の３年間の課税標準を2/3に軽減するものだがＨ</t>
    </r>
    <r>
      <rPr>
        <sz val="11"/>
        <rFont val="ＭＳ Ｐゴシック"/>
        <family val="3"/>
        <charset val="128"/>
      </rPr>
      <t>28</t>
    </r>
    <r>
      <rPr>
        <sz val="11"/>
        <rFont val="ＭＳ Ｐゴシック"/>
        <family val="3"/>
        <charset val="128"/>
      </rPr>
      <t>年で廃止。</t>
    </r>
    <rPh sb="0" eb="2">
      <t>ジョウキ</t>
    </rPh>
    <rPh sb="33" eb="34">
      <t>ネン</t>
    </rPh>
    <rPh sb="35" eb="37">
      <t>ハイシ</t>
    </rPh>
    <phoneticPr fontId="28"/>
  </si>
  <si>
    <t>売電メーターの交換</t>
    <rPh sb="0" eb="2">
      <t>ばいでん</t>
    </rPh>
    <rPh sb="7" eb="9">
      <t>こうかん</t>
    </rPh>
    <phoneticPr fontId="9" type="noConversion"/>
  </si>
  <si>
    <t>機械設備償却資産税</t>
    <rPh sb="0" eb="2">
      <t>きかい</t>
    </rPh>
    <rPh sb="2" eb="4">
      <t>せつび</t>
    </rPh>
    <rPh sb="4" eb="6">
      <t>しょうきゃく</t>
    </rPh>
    <phoneticPr fontId="9" type="noConversion"/>
  </si>
  <si>
    <t>土地の固定資産税</t>
    <rPh sb="3" eb="5">
      <t>こてい</t>
    </rPh>
    <rPh sb="5" eb="8">
      <t>しさんぜい</t>
    </rPh>
    <phoneticPr fontId="9" type="noConversion"/>
  </si>
  <si>
    <t>機械設備償却資産税減免率</t>
    <rPh sb="0" eb="2">
      <t>キカイ</t>
    </rPh>
    <rPh sb="2" eb="4">
      <t>セツビ</t>
    </rPh>
    <rPh sb="4" eb="6">
      <t>ショウキャク</t>
    </rPh>
    <rPh sb="6" eb="9">
      <t>シサンゼイ</t>
    </rPh>
    <rPh sb="9" eb="11">
      <t>ゲンメン</t>
    </rPh>
    <rPh sb="11" eb="12">
      <t>リツ</t>
    </rPh>
    <phoneticPr fontId="28"/>
  </si>
  <si>
    <t>固定資産税</t>
    <rPh sb="0" eb="2">
      <t>コテイ</t>
    </rPh>
    <rPh sb="2" eb="5">
      <t>シサンゼイ</t>
    </rPh>
    <phoneticPr fontId="28"/>
  </si>
  <si>
    <t>公募上の広さ</t>
    <rPh sb="0" eb="2">
      <t>コウボ</t>
    </rPh>
    <rPh sb="2" eb="3">
      <t>ジョウ</t>
    </rPh>
    <rPh sb="4" eb="5">
      <t>ヒロ</t>
    </rPh>
    <phoneticPr fontId="28"/>
  </si>
  <si>
    <t>路線価（円/㎡）</t>
    <rPh sb="0" eb="3">
      <t>ロセンカ</t>
    </rPh>
    <rPh sb="4" eb="5">
      <t>エン</t>
    </rPh>
    <phoneticPr fontId="28"/>
  </si>
  <si>
    <t>負担調整率</t>
    <rPh sb="0" eb="2">
      <t>フタン</t>
    </rPh>
    <rPh sb="2" eb="4">
      <t>チョウセイ</t>
    </rPh>
    <rPh sb="4" eb="5">
      <t>リツ</t>
    </rPh>
    <phoneticPr fontId="28"/>
  </si>
  <si>
    <t>固定資産税率</t>
    <rPh sb="0" eb="2">
      <t>コテイ</t>
    </rPh>
    <rPh sb="2" eb="5">
      <t>シサンゼイ</t>
    </rPh>
    <rPh sb="4" eb="6">
      <t>ゼイリツ</t>
    </rPh>
    <phoneticPr fontId="28"/>
  </si>
  <si>
    <t>都市計画税率</t>
    <rPh sb="0" eb="2">
      <t>トシ</t>
    </rPh>
    <rPh sb="2" eb="4">
      <t>ケイカク</t>
    </rPh>
    <rPh sb="4" eb="5">
      <t>ゼイ</t>
    </rPh>
    <rPh sb="5" eb="6">
      <t>リツ</t>
    </rPh>
    <phoneticPr fontId="28"/>
  </si>
  <si>
    <t>本件土地に対しる固都税予想額</t>
    <rPh sb="0" eb="2">
      <t>ホンケン</t>
    </rPh>
    <rPh sb="2" eb="4">
      <t>トチ</t>
    </rPh>
    <rPh sb="5" eb="6">
      <t>タイ</t>
    </rPh>
    <rPh sb="8" eb="11">
      <t>コトゼイ</t>
    </rPh>
    <rPh sb="11" eb="13">
      <t>ヨソウ</t>
    </rPh>
    <rPh sb="13" eb="14">
      <t>ガク</t>
    </rPh>
    <phoneticPr fontId="28"/>
  </si>
  <si>
    <t>開発申請コンサル料に含む</t>
    <rPh sb="0" eb="2">
      <t>カイハツ</t>
    </rPh>
    <rPh sb="2" eb="4">
      <t>シンセイ</t>
    </rPh>
    <rPh sb="8" eb="9">
      <t>リョウ</t>
    </rPh>
    <rPh sb="10" eb="11">
      <t>フク</t>
    </rPh>
    <phoneticPr fontId="28"/>
  </si>
  <si>
    <t>式</t>
    <rPh sb="0" eb="1">
      <t>シキ</t>
    </rPh>
    <phoneticPr fontId="28"/>
  </si>
  <si>
    <t>3１本分の請求を開道様より2018年1月31日請求を受ける。</t>
    <rPh sb="2" eb="3">
      <t>ホン</t>
    </rPh>
    <rPh sb="3" eb="4">
      <t>フン</t>
    </rPh>
    <rPh sb="5" eb="7">
      <t>セイキュウ</t>
    </rPh>
    <rPh sb="8" eb="10">
      <t>カイドウ</t>
    </rPh>
    <rPh sb="10" eb="11">
      <t>サマ</t>
    </rPh>
    <rPh sb="17" eb="18">
      <t>ネン</t>
    </rPh>
    <rPh sb="19" eb="20">
      <t>ガツ</t>
    </rPh>
    <rPh sb="22" eb="23">
      <t>ニチ</t>
    </rPh>
    <rPh sb="23" eb="25">
      <t>セイキュウ</t>
    </rPh>
    <rPh sb="26" eb="27">
      <t>ウ</t>
    </rPh>
    <phoneticPr fontId="28"/>
  </si>
  <si>
    <t>式</t>
    <rPh sb="0" eb="1">
      <t>シキ</t>
    </rPh>
    <phoneticPr fontId="28"/>
  </si>
  <si>
    <t>式</t>
    <rPh sb="0" eb="1">
      <t>シキ</t>
    </rPh>
    <phoneticPr fontId="28"/>
  </si>
  <si>
    <t>請求番号</t>
    <rPh sb="0" eb="2">
      <t>セイキュウ</t>
    </rPh>
    <rPh sb="2" eb="4">
      <t>バンゴウ</t>
    </rPh>
    <phoneticPr fontId="28"/>
  </si>
  <si>
    <t>保険料（損保＆賠償）</t>
    <rPh sb="4" eb="6">
      <t>そんぽ</t>
    </rPh>
    <rPh sb="7" eb="9">
      <t>ばいしょう</t>
    </rPh>
    <phoneticPr fontId="9" type="noConversion"/>
  </si>
  <si>
    <t>19＆20</t>
    <phoneticPr fontId="28"/>
  </si>
  <si>
    <t>オプティマイザー</t>
    <phoneticPr fontId="10"/>
  </si>
  <si>
    <t>キュービクル</t>
    <phoneticPr fontId="28"/>
  </si>
  <si>
    <t>キュービクル基礎</t>
    <rPh sb="6" eb="8">
      <t>キソ</t>
    </rPh>
    <phoneticPr fontId="28"/>
  </si>
  <si>
    <t>工事費</t>
    <rPh sb="0" eb="3">
      <t>コウジヒ</t>
    </rPh>
    <phoneticPr fontId="28"/>
  </si>
  <si>
    <t>フェンス材料とフェンス工事代KW単価</t>
    <rPh sb="4" eb="6">
      <t>ザイリョウ</t>
    </rPh>
    <rPh sb="11" eb="13">
      <t>コウジ</t>
    </rPh>
    <rPh sb="13" eb="14">
      <t>ダイ</t>
    </rPh>
    <rPh sb="16" eb="18">
      <t>タンカ</t>
    </rPh>
    <phoneticPr fontId="40"/>
  </si>
  <si>
    <t>伐採&amp;伐根&amp;敷地内集積</t>
    <rPh sb="0" eb="2">
      <t>バッサイ</t>
    </rPh>
    <rPh sb="3" eb="5">
      <t>バッコン</t>
    </rPh>
    <rPh sb="6" eb="9">
      <t>シキチナイ</t>
    </rPh>
    <rPh sb="9" eb="11">
      <t>シュウセキ</t>
    </rPh>
    <phoneticPr fontId="40"/>
  </si>
  <si>
    <t>修繕積立金(パネル+PCS+キュビクル金額のｘ％)</t>
    <rPh sb="0" eb="2">
      <t>シュウゼン</t>
    </rPh>
    <rPh sb="2" eb="4">
      <t>ツミタテ</t>
    </rPh>
    <rPh sb="4" eb="5">
      <t>キン</t>
    </rPh>
    <rPh sb="19" eb="21">
      <t>キンガク</t>
    </rPh>
    <phoneticPr fontId="10"/>
  </si>
  <si>
    <t>円/ｋｗ</t>
    <rPh sb="0" eb="1">
      <t>エン</t>
    </rPh>
    <phoneticPr fontId="28"/>
  </si>
  <si>
    <t>防草シート設置（1+8+16年目）</t>
    <rPh sb="0" eb="2">
      <t>ボウソウ</t>
    </rPh>
    <rPh sb="5" eb="7">
      <t>セッチ</t>
    </rPh>
    <rPh sb="14" eb="16">
      <t>ネンメ</t>
    </rPh>
    <phoneticPr fontId="28"/>
  </si>
  <si>
    <t>ＰＶ発電事業を実施する際の現況補正率</t>
    <phoneticPr fontId="28"/>
  </si>
  <si>
    <t>電力会社工事負担金</t>
    <rPh sb="0" eb="9">
      <t>コウジフタンキン</t>
    </rPh>
    <phoneticPr fontId="28"/>
  </si>
  <si>
    <t>電力会社が求めた追加の負担金</t>
    <rPh sb="0" eb="2">
      <t>チュウデン</t>
    </rPh>
    <rPh sb="3" eb="4">
      <t>モト</t>
    </rPh>
    <rPh sb="6" eb="8">
      <t>ツイカ</t>
    </rPh>
    <rPh sb="9" eb="12">
      <t>フタンキン</t>
    </rPh>
    <phoneticPr fontId="28"/>
  </si>
  <si>
    <t>電力会社バンク逆潮流対策費</t>
    <rPh sb="0" eb="2">
      <t>チュウデン</t>
    </rPh>
    <rPh sb="5" eb="6">
      <t>ギャク</t>
    </rPh>
    <rPh sb="6" eb="8">
      <t>チョウリュウ</t>
    </rPh>
    <rPh sb="8" eb="10">
      <t>タイサク</t>
    </rPh>
    <rPh sb="10" eb="11">
      <t>ヒ</t>
    </rPh>
    <phoneticPr fontId="28"/>
  </si>
  <si>
    <t>土地紹介会社へ支払い</t>
    <rPh sb="0" eb="1">
      <t>カシハラズ</t>
    </rPh>
    <phoneticPr fontId="28"/>
  </si>
  <si>
    <t>農転申請手続き費用</t>
    <phoneticPr fontId="28"/>
  </si>
  <si>
    <t>開発許認可費用</t>
    <rPh sb="0" eb="2">
      <t>カイハツ</t>
    </rPh>
    <rPh sb="2" eb="5">
      <t>キョニンカ</t>
    </rPh>
    <rPh sb="5" eb="7">
      <t>ヒヨウ</t>
    </rPh>
    <phoneticPr fontId="46"/>
  </si>
  <si>
    <t>林地開発許可申請費用</t>
    <rPh sb="0" eb="2">
      <t>リンチ</t>
    </rPh>
    <phoneticPr fontId="28"/>
  </si>
  <si>
    <t>1.5m高の架台を設置する場合0円</t>
    <rPh sb="0" eb="1">
      <t>タカ</t>
    </rPh>
    <phoneticPr fontId="28"/>
  </si>
  <si>
    <t>民間企業間の固定売電単価</t>
    <rPh sb="0" eb="2">
      <t>ガイハン</t>
    </rPh>
    <rPh sb="2" eb="4">
      <t>タンカ</t>
    </rPh>
    <phoneticPr fontId="28"/>
  </si>
  <si>
    <t>パネルの総KW数</t>
    <phoneticPr fontId="28"/>
  </si>
  <si>
    <t>架台の角度</t>
    <rPh sb="0" eb="2">
      <t>カダ</t>
    </rPh>
    <phoneticPr fontId="28"/>
  </si>
  <si>
    <t>円/㎡</t>
    <phoneticPr fontId="28"/>
  </si>
  <si>
    <t>造成</t>
    <rPh sb="0" eb="2">
      <t>ゾウセイエン</t>
    </rPh>
    <phoneticPr fontId="40"/>
  </si>
  <si>
    <t>架台角度による１KW当り平米数</t>
    <rPh sb="0" eb="1">
      <t>アタリ</t>
    </rPh>
    <phoneticPr fontId="28"/>
  </si>
  <si>
    <t>自己資金投資利回り（税引き前）</t>
    <phoneticPr fontId="28"/>
  </si>
  <si>
    <t>売電コスト</t>
    <phoneticPr fontId="28"/>
  </si>
  <si>
    <t>円/台</t>
    <rPh sb="0" eb="1">
      <t>ダイ</t>
    </rPh>
    <phoneticPr fontId="28"/>
  </si>
  <si>
    <t>パネルの枚数</t>
    <phoneticPr fontId="28"/>
  </si>
  <si>
    <t>パネル1枚当りの容量</t>
    <rPh sb="0" eb="2">
      <t>トチ</t>
    </rPh>
    <rPh sb="3" eb="5">
      <t>メンセキ</t>
    </rPh>
    <phoneticPr fontId="28"/>
  </si>
  <si>
    <t>パワコンがソーラーエッジの場合、この数値の1.1倍になります</t>
    <phoneticPr fontId="28"/>
  </si>
  <si>
    <t>パネル1kW当りの年間平均発電量</t>
    <rPh sb="0" eb="1">
      <t>アtr</t>
    </rPh>
    <phoneticPr fontId="28"/>
  </si>
  <si>
    <t>パネル1kW当りの
年間の平均発電量</t>
    <phoneticPr fontId="28"/>
  </si>
  <si>
    <t>パワコンの台数</t>
    <rPh sb="0" eb="2">
      <t>ダイス</t>
    </rPh>
    <phoneticPr fontId="28"/>
  </si>
  <si>
    <t>電力会社が求める力率</t>
    <rPh sb="0" eb="2">
      <t>デンリョク</t>
    </rPh>
    <rPh sb="2" eb="4">
      <t>カイシャ</t>
    </rPh>
    <rPh sb="5" eb="6">
      <t>モト</t>
    </rPh>
    <rPh sb="8" eb="10">
      <t>リキリツ</t>
    </rPh>
    <phoneticPr fontId="28"/>
  </si>
  <si>
    <t>Solaredge33.3kwの定格ｋVA</t>
    <rPh sb="16" eb="18">
      <t>テイカク</t>
    </rPh>
    <phoneticPr fontId="28"/>
  </si>
  <si>
    <t>Solaredge33.3kwの最適過積載率</t>
    <rPh sb="16" eb="18">
      <t>サイテキ</t>
    </rPh>
    <rPh sb="18" eb="22">
      <t>カセキサイリツ</t>
    </rPh>
    <phoneticPr fontId="28"/>
  </si>
  <si>
    <t>パネル、PCSの定期検査費用
ソーラーエッジは40,000円/月
その他は2,000円/kw・年</t>
    <rPh sb="0" eb="2">
      <t>テイk</t>
    </rPh>
    <phoneticPr fontId="28"/>
  </si>
  <si>
    <t>台</t>
    <rPh sb="0" eb="1">
      <t>ダイ</t>
    </rPh>
    <phoneticPr fontId="28"/>
  </si>
  <si>
    <t>月平均斜面日射量</t>
    <phoneticPr fontId="46"/>
  </si>
  <si>
    <t>kwh/㎡・日</t>
    <phoneticPr fontId="46"/>
  </si>
  <si>
    <t>MONSOLAR メッシュ番号：</t>
    <phoneticPr fontId="40"/>
  </si>
  <si>
    <t>気象庁HPより</t>
    <phoneticPr fontId="46"/>
  </si>
  <si>
    <t>1月</t>
    <rPh sb="1" eb="2">
      <t>ガツ</t>
    </rPh>
    <phoneticPr fontId="46"/>
  </si>
  <si>
    <t>2月</t>
    <rPh sb="1" eb="2">
      <t>ガツ</t>
    </rPh>
    <phoneticPr fontId="46"/>
  </si>
  <si>
    <t>3月</t>
  </si>
  <si>
    <t>4月</t>
  </si>
  <si>
    <t>5月</t>
  </si>
  <si>
    <t>6月</t>
  </si>
  <si>
    <t>7月</t>
  </si>
  <si>
    <t>8月</t>
  </si>
  <si>
    <t>9月</t>
  </si>
  <si>
    <t>10月</t>
  </si>
  <si>
    <t>11月</t>
    <rPh sb="2" eb="3">
      <t>ガツ</t>
    </rPh>
    <phoneticPr fontId="40"/>
  </si>
  <si>
    <t>12月</t>
    <rPh sb="2" eb="3">
      <t>ガツ</t>
    </rPh>
    <phoneticPr fontId="40"/>
  </si>
  <si>
    <t>計</t>
    <rPh sb="0" eb="1">
      <t>ケイ</t>
    </rPh>
    <phoneticPr fontId="46"/>
  </si>
  <si>
    <t>kwh/㎡・日</t>
    <rPh sb="6" eb="7">
      <t>ニチ</t>
    </rPh>
    <phoneticPr fontId="46"/>
  </si>
  <si>
    <t>各月の日数</t>
    <rPh sb="0" eb="2">
      <t>カクツキ</t>
    </rPh>
    <rPh sb="3" eb="5">
      <t>ニッスウ</t>
    </rPh>
    <phoneticPr fontId="46"/>
  </si>
  <si>
    <t>日（数）</t>
    <rPh sb="0" eb="1">
      <t>ニチ</t>
    </rPh>
    <rPh sb="2" eb="3">
      <t>スウ</t>
    </rPh>
    <phoneticPr fontId="46"/>
  </si>
  <si>
    <t>月間平均気温</t>
    <rPh sb="0" eb="2">
      <t>ゲッカン</t>
    </rPh>
    <rPh sb="2" eb="6">
      <t>ヘイキンキオン</t>
    </rPh>
    <phoneticPr fontId="46"/>
  </si>
  <si>
    <t>月間合計日射量</t>
    <rPh sb="0" eb="2">
      <t>ゲッカン</t>
    </rPh>
    <rPh sb="2" eb="4">
      <t>ゴウケイ</t>
    </rPh>
    <rPh sb="4" eb="7">
      <t>ニッシャリョウ</t>
    </rPh>
    <phoneticPr fontId="46"/>
  </si>
  <si>
    <t>kwh/㎡・月</t>
    <rPh sb="6" eb="7">
      <t>ツキ</t>
    </rPh>
    <phoneticPr fontId="46"/>
  </si>
  <si>
    <t>加重平均太陽電池モジュール温度上昇（ΔT）</t>
    <phoneticPr fontId="46"/>
  </si>
  <si>
    <t>JISによる数値は18.4</t>
    <rPh sb="0" eb="2">
      <t>スウ</t>
    </rPh>
    <phoneticPr fontId="46"/>
  </si>
  <si>
    <t>加重平均太陽電池モジュール温度</t>
    <rPh sb="0" eb="2">
      <t>カジュウ</t>
    </rPh>
    <rPh sb="2" eb="4">
      <t>ヘイキン</t>
    </rPh>
    <rPh sb="4" eb="6">
      <t>タイヨウ</t>
    </rPh>
    <rPh sb="6" eb="8">
      <t>デンチ</t>
    </rPh>
    <rPh sb="13" eb="15">
      <t>オンド</t>
    </rPh>
    <phoneticPr fontId="46"/>
  </si>
  <si>
    <t>℃</t>
  </si>
  <si>
    <t>温度補正係数（KPT）</t>
    <rPh sb="0" eb="2">
      <t>オンド</t>
    </rPh>
    <rPh sb="2" eb="4">
      <t>ホセイ</t>
    </rPh>
    <rPh sb="4" eb="6">
      <t>ケイスウ</t>
    </rPh>
    <phoneticPr fontId="46"/>
  </si>
  <si>
    <t>月別総合設計係数</t>
    <rPh sb="0" eb="2">
      <t>ツキベツ</t>
    </rPh>
    <rPh sb="2" eb="4">
      <t>ソウゴウ</t>
    </rPh>
    <rPh sb="4" eb="6">
      <t>セッケイ</t>
    </rPh>
    <rPh sb="6" eb="8">
      <t>ケイスウ</t>
    </rPh>
    <phoneticPr fontId="46"/>
  </si>
  <si>
    <t>月間システム推定発電量（ｋｗｈ）</t>
    <rPh sb="0" eb="2">
      <t>ゲッカン</t>
    </rPh>
    <rPh sb="6" eb="8">
      <t>スイテイ</t>
    </rPh>
    <rPh sb="8" eb="10">
      <t>ハツデン</t>
    </rPh>
    <rPh sb="10" eb="11">
      <t>リョウ</t>
    </rPh>
    <phoneticPr fontId="46"/>
  </si>
  <si>
    <t>パネルのワット数</t>
    <rPh sb="7" eb="8">
      <t>スウ</t>
    </rPh>
    <phoneticPr fontId="46"/>
  </si>
  <si>
    <t>JIS　C8907の計算方法に基づく太陽光発電量の推計</t>
    <rPh sb="10" eb="14">
      <t>ケイサンホウホウ</t>
    </rPh>
    <rPh sb="15" eb="16">
      <t>モト</t>
    </rPh>
    <rPh sb="18" eb="21">
      <t>タイヨウコウ</t>
    </rPh>
    <rPh sb="21" eb="23">
      <t>ハツデン</t>
    </rPh>
    <rPh sb="23" eb="24">
      <t>リョウ</t>
    </rPh>
    <rPh sb="25" eb="27">
      <t>スイケイ</t>
    </rPh>
    <phoneticPr fontId="40"/>
  </si>
  <si>
    <t>【設置時の基本設計係数の算出】</t>
    <rPh sb="1" eb="4">
      <t>セッチジ</t>
    </rPh>
    <rPh sb="5" eb="7">
      <t>キホン</t>
    </rPh>
    <rPh sb="7" eb="11">
      <t>セッケイケイスウ</t>
    </rPh>
    <rPh sb="12" eb="14">
      <t>サンシュツ</t>
    </rPh>
    <phoneticPr fontId="40"/>
  </si>
  <si>
    <t>パネルの枚数</t>
    <rPh sb="4" eb="6">
      <t>マイスウ</t>
    </rPh>
    <phoneticPr fontId="46"/>
  </si>
  <si>
    <t>日射量年変動補正係数 Kｈｄ）</t>
    <phoneticPr fontId="40"/>
  </si>
  <si>
    <t>経時変化補正係数(Kpd)</t>
    <phoneticPr fontId="40"/>
  </si>
  <si>
    <t>アレイ回路補正係数(Kpa)</t>
    <rPh sb="3" eb="5">
      <t>カイロ</t>
    </rPh>
    <rPh sb="5" eb="7">
      <t>ホセイ</t>
    </rPh>
    <rPh sb="7" eb="9">
      <t>ケイスウ</t>
    </rPh>
    <phoneticPr fontId="40"/>
  </si>
  <si>
    <t>アレ負荷整合補正計数(Kpm)</t>
    <rPh sb="2" eb="4">
      <t>フカ</t>
    </rPh>
    <rPh sb="4" eb="6">
      <t>セイゴウ</t>
    </rPh>
    <rPh sb="6" eb="8">
      <t>ホセイ</t>
    </rPh>
    <rPh sb="8" eb="10">
      <t>ケイスウ</t>
    </rPh>
    <phoneticPr fontId="40"/>
  </si>
  <si>
    <t>基本設計係数(K')</t>
  </si>
  <si>
    <t>メーカー入手の最大出力温度係数（αPmax)</t>
    <phoneticPr fontId="40"/>
  </si>
  <si>
    <t>損害保険料</t>
    <rPh sb="0" eb="4">
      <t>ソンガイ</t>
    </rPh>
    <rPh sb="4" eb="5">
      <t>リョウ</t>
    </rPh>
    <phoneticPr fontId="28"/>
  </si>
  <si>
    <t>最大30日間の休業補償保険</t>
    <phoneticPr fontId="28"/>
  </si>
  <si>
    <t>主任技術者のキュービクル概算管理料（概算）</t>
    <rPh sb="0" eb="2">
      <t>デンキ</t>
    </rPh>
    <rPh sb="2" eb="4">
      <t>シュニン</t>
    </rPh>
    <rPh sb="4" eb="7">
      <t>ギジュツシャ</t>
    </rPh>
    <rPh sb="7" eb="9">
      <t>ホアン</t>
    </rPh>
    <rPh sb="9" eb="11">
      <t>テンケン</t>
    </rPh>
    <rPh sb="11" eb="13">
      <t>カンリ</t>
    </rPh>
    <phoneticPr fontId="28"/>
  </si>
  <si>
    <t>賠償保険料</t>
    <rPh sb="0" eb="5">
      <t>バイショウ</t>
    </rPh>
    <phoneticPr fontId="28"/>
  </si>
  <si>
    <t>保険料（合計）</t>
    <rPh sb="0" eb="2">
      <t>ホケン</t>
    </rPh>
    <rPh sb="2" eb="3">
      <t>リョウ</t>
    </rPh>
    <rPh sb="4" eb="6">
      <t>ゴウケイ</t>
    </rPh>
    <phoneticPr fontId="28"/>
  </si>
  <si>
    <t>JINKO Solar JKM585N-72HL4</t>
    <phoneticPr fontId="28"/>
  </si>
  <si>
    <t>パワコン20年間の保証料</t>
    <rPh sb="6" eb="8">
      <t>ネンカン</t>
    </rPh>
    <rPh sb="9" eb="12">
      <t>ホショウリョウ</t>
    </rPh>
    <phoneticPr fontId="28"/>
  </si>
  <si>
    <t>オプティマイザー取り付け金具</t>
    <rPh sb="8" eb="9">
      <t>ト</t>
    </rPh>
    <rPh sb="10" eb="11">
      <t>ツ</t>
    </rPh>
    <rPh sb="12" eb="14">
      <t>カナグ</t>
    </rPh>
    <phoneticPr fontId="10"/>
  </si>
  <si>
    <t>円/セット</t>
    <rPh sb="0" eb="1">
      <t>エン</t>
    </rPh>
    <phoneticPr fontId="28"/>
  </si>
  <si>
    <t>出力制御装置＆通信ルーター</t>
    <rPh sb="0" eb="4">
      <t>シュツリョクセイギョ</t>
    </rPh>
    <rPh sb="4" eb="6">
      <t>ソウチ</t>
    </rPh>
    <rPh sb="7" eb="9">
      <t>ツウシン</t>
    </rPh>
    <phoneticPr fontId="28"/>
  </si>
  <si>
    <t>専用保護継電器　</t>
  </si>
  <si>
    <t>オムロン製　KP-PRRV-CPC</t>
  </si>
  <si>
    <t>地絡方向継電器　</t>
    <rPh sb="0" eb="4">
      <t>チラクホウコウ</t>
    </rPh>
    <rPh sb="4" eb="7">
      <t>ケイデンキ</t>
    </rPh>
    <phoneticPr fontId="40"/>
  </si>
  <si>
    <t>オムロン製　VOC-1MS2-1ZPD</t>
    <rPh sb="4" eb="5">
      <t>セイ</t>
    </rPh>
    <phoneticPr fontId="40"/>
  </si>
  <si>
    <t>三相エネルギーメーター</t>
    <rPh sb="0" eb="2">
      <t>サンソウ</t>
    </rPh>
    <phoneticPr fontId="40"/>
  </si>
  <si>
    <t>JANITZA　UMG104</t>
    <phoneticPr fontId="40"/>
  </si>
  <si>
    <t>梯子建設費</t>
    <rPh sb="0" eb="2">
      <t>ハシゴ</t>
    </rPh>
    <rPh sb="2" eb="5">
      <t>ケンセツヒ</t>
    </rPh>
    <phoneticPr fontId="28"/>
  </si>
  <si>
    <t>補助金</t>
    <rPh sb="0" eb="3">
      <t>ホジョキン</t>
    </rPh>
    <phoneticPr fontId="28"/>
  </si>
  <si>
    <t>秋田県補助金</t>
    <rPh sb="0" eb="3">
      <t>アキタケン</t>
    </rPh>
    <rPh sb="3" eb="6">
      <t>ホジョキン</t>
    </rPh>
    <phoneticPr fontId="28"/>
  </si>
  <si>
    <t>.</t>
    <phoneticPr fontId="28"/>
  </si>
  <si>
    <t>20年間合計</t>
    <rPh sb="2" eb="4">
      <t>ネンカン</t>
    </rPh>
    <rPh sb="4" eb="6">
      <t>ゴウケイ</t>
    </rPh>
    <phoneticPr fontId="28"/>
  </si>
  <si>
    <t>平均</t>
    <rPh sb="0" eb="2">
      <t>ヘイキン</t>
    </rPh>
    <phoneticPr fontId="28"/>
  </si>
  <si>
    <t>売電収支ショミレーション計算</t>
    <rPh sb="0" eb="4">
      <t>バイデンシュウシ</t>
    </rPh>
    <rPh sb="12" eb="14">
      <t>ケイサン</t>
    </rPh>
    <phoneticPr fontId="28"/>
  </si>
  <si>
    <t>投下全資本回収年数</t>
    <rPh sb="0" eb="2">
      <t>ﾄｳｶ</t>
    </rPh>
    <rPh sb="2" eb="3">
      <t>ｾﾞﾝ</t>
    </rPh>
    <rPh sb="3" eb="5">
      <t>ｼﾎﾝ</t>
    </rPh>
    <rPh sb="5" eb="7">
      <t>かいしゅう</t>
    </rPh>
    <rPh sb="7" eb="9">
      <t>ねんすう</t>
    </rPh>
    <phoneticPr fontId="9" type="noConversion"/>
  </si>
  <si>
    <t>kwh</t>
    <phoneticPr fontId="28"/>
  </si>
  <si>
    <t>投下全資本回収年数</t>
    <rPh sb="0" eb="2">
      <t>ﾄｳｶ</t>
    </rPh>
    <rPh sb="2" eb="5">
      <t>ｾﾞﾝｼﾎﾝ</t>
    </rPh>
    <rPh sb="5" eb="9">
      <t>ｶｲｼｭｳﾈﾝｽｳ</t>
    </rPh>
    <phoneticPr fontId="9" type="noConversion"/>
  </si>
  <si>
    <t>α＝</t>
    <phoneticPr fontId="28"/>
  </si>
  <si>
    <t>輸送費</t>
    <rPh sb="0" eb="3">
      <t>ユソウヒ</t>
    </rPh>
    <phoneticPr fontId="28"/>
  </si>
  <si>
    <t>売電単価(税前）</t>
    <rPh sb="5" eb="7">
      <t>ゼイマエ</t>
    </rPh>
    <phoneticPr fontId="28"/>
  </si>
  <si>
    <t>補助金受領後税前投資額合計</t>
    <rPh sb="0" eb="6">
      <t>ホジョキンジュリョウゴ</t>
    </rPh>
    <rPh sb="6" eb="7">
      <t>ゼイ</t>
    </rPh>
    <rPh sb="7" eb="8">
      <t>マエ</t>
    </rPh>
    <rPh sb="8" eb="10">
      <t>トウシ</t>
    </rPh>
    <rPh sb="10" eb="11">
      <t>ガク</t>
    </rPh>
    <rPh sb="11" eb="13">
      <t>ゴウケイ</t>
    </rPh>
    <phoneticPr fontId="28"/>
  </si>
  <si>
    <t>税前初期投資額--&gt;</t>
    <rPh sb="0" eb="2">
      <t>ｾﾞｲﾏｴ</t>
    </rPh>
    <rPh sb="2" eb="4">
      <t>しょき</t>
    </rPh>
    <rPh sb="4" eb="6">
      <t>とうし</t>
    </rPh>
    <rPh sb="6" eb="7">
      <t>がく</t>
    </rPh>
    <phoneticPr fontId="9" type="noConversion"/>
  </si>
  <si>
    <t>PCS</t>
    <phoneticPr fontId="28"/>
  </si>
  <si>
    <t>その他</t>
    <rPh sb="2" eb="3">
      <t>タ</t>
    </rPh>
    <phoneticPr fontId="28"/>
  </si>
  <si>
    <t>工事</t>
    <rPh sb="0" eb="2">
      <t>コウジ</t>
    </rPh>
    <phoneticPr fontId="28"/>
  </si>
  <si>
    <t>SUN2000-50KTL-NHM3</t>
  </si>
  <si>
    <t>NEDO（経産省管轄　新エネルギー開発機構）が作成した　MONSOLAR　という日射量データベースが掲載している過去30年間の現場周辺の水平面の日射データを下記のエクセルファイルの7行目に記載</t>
    <rPh sb="5" eb="8">
      <t>ケイサンショウ</t>
    </rPh>
    <rPh sb="8" eb="10">
      <t>カンカツ</t>
    </rPh>
    <rPh sb="11" eb="12">
      <t>シン</t>
    </rPh>
    <rPh sb="17" eb="21">
      <t>カイハツキコウ</t>
    </rPh>
    <rPh sb="23" eb="25">
      <t>サクセイ</t>
    </rPh>
    <rPh sb="40" eb="42">
      <t>ニッシャ</t>
    </rPh>
    <rPh sb="42" eb="43">
      <t>リョウ</t>
    </rPh>
    <rPh sb="50" eb="52">
      <t>ケイサイ</t>
    </rPh>
    <rPh sb="56" eb="58">
      <t>カコ</t>
    </rPh>
    <rPh sb="60" eb="62">
      <t>ネンカン</t>
    </rPh>
    <rPh sb="63" eb="67">
      <t>ゲンバシュウヘン</t>
    </rPh>
    <rPh sb="68" eb="71">
      <t>スイヘイメン</t>
    </rPh>
    <rPh sb="72" eb="74">
      <t>ニッシャ</t>
    </rPh>
    <rPh sb="78" eb="80">
      <t>カキギョウメキサイ</t>
    </rPh>
    <phoneticPr fontId="46"/>
  </si>
  <si>
    <t>6040-2468</t>
    <phoneticPr fontId="40"/>
  </si>
  <si>
    <t>大館市における各月の平均気温</t>
    <rPh sb="0" eb="2">
      <t>オオダテ</t>
    </rPh>
    <rPh sb="2" eb="3">
      <t>ノシロ</t>
    </rPh>
    <rPh sb="7" eb="9">
      <t>カクツキ</t>
    </rPh>
    <rPh sb="10" eb="14">
      <t>ヘイキンキオン</t>
    </rPh>
    <phoneticPr fontId="46"/>
  </si>
  <si>
    <t>https://www.data.jma.go.jp/stats/etrn/view/nml_amd_ym.php?prec_no=32&amp;block_no=0912&amp;year=&amp;month=&amp;day=&amp;view=</t>
    <phoneticPr fontId="46"/>
  </si>
  <si>
    <t>大館市蟹沢第一発電所</t>
    <rPh sb="0" eb="3">
      <t>オオダテ</t>
    </rPh>
    <rPh sb="3" eb="5">
      <t>カニサワ</t>
    </rPh>
    <rPh sb="5" eb="6">
      <t>ダイ</t>
    </rPh>
    <phoneticPr fontId="46"/>
  </si>
  <si>
    <t>傾斜角30度での日射量</t>
    <rPh sb="0" eb="3">
      <t>ケイシャ</t>
    </rPh>
    <rPh sb="6" eb="11">
      <t>ニッシャリョウ</t>
    </rPh>
    <phoneticPr fontId="46"/>
  </si>
  <si>
    <t>℃</t>
    <phoneticPr fontId="46"/>
  </si>
  <si>
    <t>直流最大出力（様式3 直流発電機）</t>
    <rPh sb="0" eb="6">
      <t>チョク</t>
    </rPh>
    <rPh sb="7" eb="9">
      <t>ヨウシキ</t>
    </rPh>
    <rPh sb="11" eb="13">
      <t>チョク</t>
    </rPh>
    <rPh sb="13" eb="16">
      <t>ハツデn</t>
    </rPh>
    <phoneticPr fontId="46"/>
  </si>
  <si>
    <t>PCS</t>
    <phoneticPr fontId="46"/>
  </si>
  <si>
    <t>変換効率</t>
    <rPh sb="0" eb="4">
      <t>ヘンカンコウル</t>
    </rPh>
    <phoneticPr fontId="46"/>
  </si>
  <si>
    <t>発電量係数</t>
    <rPh sb="0" eb="5">
      <t>ハツデn</t>
    </rPh>
    <phoneticPr fontId="46"/>
  </si>
  <si>
    <t>定格出力</t>
    <rPh sb="0" eb="4">
      <t>テイカク</t>
    </rPh>
    <phoneticPr fontId="46"/>
  </si>
  <si>
    <t>Solar Edge</t>
    <phoneticPr fontId="46"/>
  </si>
  <si>
    <t>最大受電電力（様式2の5）</t>
    <rPh sb="0" eb="6">
      <t>サイダイ</t>
    </rPh>
    <rPh sb="7" eb="9">
      <t>ヨウシキ</t>
    </rPh>
    <phoneticPr fontId="46"/>
  </si>
  <si>
    <t>HUAWEI</t>
    <phoneticPr fontId="46"/>
  </si>
  <si>
    <t>PCS（Solar Edgeは発電出力が1.1倍）</t>
    <rPh sb="15" eb="19">
      <t>ハツデn</t>
    </rPh>
    <phoneticPr fontId="46"/>
  </si>
  <si>
    <t>HUAWEI</t>
  </si>
  <si>
    <t>パワコン 直流＝＞交流　変換効率</t>
    <rPh sb="5" eb="7">
      <t>チョク</t>
    </rPh>
    <rPh sb="9" eb="10">
      <t>コウ</t>
    </rPh>
    <rPh sb="10" eb="11">
      <t>リュウ</t>
    </rPh>
    <rPh sb="12" eb="16">
      <t>ヘンカンコウリツ</t>
    </rPh>
    <phoneticPr fontId="40"/>
  </si>
  <si>
    <r>
      <rPr>
        <sz val="12"/>
        <color rgb="FFFF0000"/>
        <rFont val="ＭＳ Ｐゴシック"/>
        <family val="2"/>
        <charset val="128"/>
        <scheme val="minor"/>
      </rPr>
      <t>※</t>
    </r>
    <r>
      <rPr>
        <sz val="12"/>
        <color theme="1"/>
        <rFont val="ＭＳ Ｐゴシック"/>
        <family val="2"/>
        <charset val="128"/>
        <scheme val="minor"/>
      </rPr>
      <t xml:space="preserve"> 11行目の「加重平均太陽電池モジュール温度上昇」の数値はChatGPTによって得られた一般的な裏面開放形の数値です。根拠や出典は不明で裏付けがあるわけではありません。しかし年間平均値が18.67で、JIS　C8907で示された数値18.4に近い数値であり、「加重平均太陽電池モジュール温度」の」年間平均が24.4度（セル番号P12）で年間平均気温5.8度（セル番号P9）+18.4＝24.2とも近い数値になるのでこれを使っています。</t>
    </r>
    <rPh sb="0" eb="2">
      <t>マスdギョウメカジュウヘイキンタイヨウデンチオンドジョウショウスウチエイッパンテキウラメンカイホウケイスウチコンキョシュッテンフメイウラヅネンカンヘイキンチシメスウチチカスウチネンカンヘイキンドノシロシネンカンヘイキンキオンドチカスウチツカ</t>
    </rPh>
    <phoneticPr fontId="46"/>
  </si>
  <si>
    <t>土地の面積</t>
    <rPh sb="0" eb="2">
      <t>トチ</t>
    </rPh>
    <phoneticPr fontId="28"/>
  </si>
  <si>
    <t>権利譲渡業務</t>
    <rPh sb="0" eb="4">
      <t>ケンリジョウト</t>
    </rPh>
    <rPh sb="4" eb="6">
      <t>ギョウム</t>
    </rPh>
    <phoneticPr fontId="28"/>
  </si>
  <si>
    <t>https://domessolar.infop.nedo.go.jp/appww/cgi-bin/monsola.cgi?m=60402468</t>
    <phoneticPr fontId="46"/>
  </si>
  <si>
    <t>損害保険料率</t>
    <rPh sb="0" eb="6">
      <t>ソンガイホケンリョウリツ</t>
    </rPh>
    <phoneticPr fontId="28"/>
  </si>
  <si>
    <t>賠償保険料率</t>
    <rPh sb="0" eb="6">
      <t>バイショウホケンリョウリツ</t>
    </rPh>
    <phoneticPr fontId="28"/>
  </si>
  <si>
    <t>プロジェクトIRR（税前）</t>
    <phoneticPr fontId="9" type="noConversion"/>
  </si>
  <si>
    <t>エクイティIRR（税前）</t>
    <rPh sb="9" eb="10">
      <t>ぜい</t>
    </rPh>
    <rPh sb="10" eb="11">
      <t>まえ</t>
    </rPh>
    <phoneticPr fontId="9" type="noConversion"/>
  </si>
  <si>
    <t>土地代</t>
    <rPh sb="0" eb="3">
      <t>トチダイ</t>
    </rPh>
    <phoneticPr fontId="47"/>
  </si>
  <si>
    <t>土地の賃料</t>
    <rPh sb="0" eb="2">
      <t>ﾄﾁ</t>
    </rPh>
    <rPh sb="3" eb="5">
      <t>ﾁﾝﾘｮｳ</t>
    </rPh>
    <phoneticPr fontId="9" type="noConversion"/>
  </si>
  <si>
    <t>BDV補正</t>
    <rPh sb="3" eb="5">
      <t>ホセイ</t>
    </rPh>
    <phoneticPr fontId="28"/>
  </si>
  <si>
    <t>kWh</t>
    <phoneticPr fontId="46"/>
  </si>
  <si>
    <t>kWh</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</si>
</sst>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1">
    <numFmt numFmtId="5" formatCode="&quot;¥&quot;#,##0;&quot;¥&quot;\-#,##0"/>
    <numFmt numFmtId="6" formatCode="&quot;¥&quot;#,##0;[Red]&quot;¥&quot;\-#,##0"/>
    <numFmt numFmtId="8" formatCode="&quot;¥&quot;#,##0.00;[Red]&quot;¥&quot;\-#,##0.00"/>
    <numFmt numFmtId="176" formatCode="0.0%"/>
    <numFmt numFmtId="177" formatCode="#,##0&quot;年&quot;"/>
    <numFmt numFmtId="178" formatCode="#,##0.0;[Red]\-#,##0.0"/>
    <numFmt numFmtId="179" formatCode="[$¥-411]#,##0;\-[$¥-411]#,##0"/>
    <numFmt numFmtId="180" formatCode="#,##0&quot;年目&quot;_);\(#,##0&quot;枚&quot;\)"/>
    <numFmt numFmtId="181" formatCode="&quot;Year &quot;##0&quot;&quot;_);\(#,##0&quot;kwh&quot;\)"/>
    <numFmt numFmtId="182" formatCode="&quot;&quot;#,##0.00&quot;kwp&quot;_);\(#,##0&quot;/kwp&quot;\)"/>
    <numFmt numFmtId="183" formatCode="#,##0.000"/>
    <numFmt numFmtId="184" formatCode="#,##0.0000000"/>
    <numFmt numFmtId="185" formatCode="#,##0_);[Red]\(#,##0\)"/>
    <numFmt numFmtId="186" formatCode="#,##0.000000000_);[Red]\(#,##0.000000000\)"/>
    <numFmt numFmtId="187" formatCode="#,##0&quot;kwh&quot;_);\(#,##0&quot;/kwh&quot;\)"/>
    <numFmt numFmtId="188" formatCode="#,##0&quot;year&quot;_);\(#,##0&quot;枚&quot;\)"/>
    <numFmt numFmtId="189" formatCode="&quot;¥&quot;##0.00&quot;/kwh&quot;_);\(#,##0&quot;kwh&quot;\)"/>
    <numFmt numFmtId="190" formatCode="#,##0&quot;年&quot;_);\(#,##0&quot;枚&quot;\)"/>
    <numFmt numFmtId="191" formatCode="&quot;¥&quot;#,##0_);[Red]\(&quot;¥&quot;#,##0\)"/>
    <numFmt numFmtId="192" formatCode="0_ "/>
    <numFmt numFmtId="193" formatCode="#,##0&quot;年平均&quot;"/>
    <numFmt numFmtId="194" formatCode="&quot;1KW当たり単価　&quot;#,##0&quot;円/ｋｗ&quot;"/>
    <numFmt numFmtId="195" formatCode="&quot;為替レート US$1＝&quot;#,##0.00&quot;Yen&quot;_);\(#,##0&quot;/kwp&quot;\)"/>
    <numFmt numFmtId="196" formatCode="&quot;1棟当たり平均面積　&quot;#,##0.00&quot;㎡&quot;"/>
    <numFmt numFmtId="197" formatCode="&quot;1KW当たり必要面積　&quot;#,##0.000&quot;㎡&quot;"/>
    <numFmt numFmtId="198" formatCode="&quot;総設置台数　&quot;#,##0&quot;台&quot;"/>
    <numFmt numFmtId="199" formatCode="&quot;&quot;#,##0&quot;円/ｋｗ&quot;_);\(#,##0&quot;/kwp&quot;\)"/>
    <numFmt numFmtId="200" formatCode="#,##0&quot;年目&quot;"/>
    <numFmt numFmtId="201" formatCode="&quot;&quot;#,##0.00&quot;kW&quot;_);\(#,##0&quot;/kwp&quot;\)"/>
    <numFmt numFmtId="202" formatCode="&quot;設置容量&quot;#,##0.00&quot;kW&quot;_);\(#,##0&quot;/kwp&quot;\)"/>
    <numFmt numFmtId="203" formatCode="&quot;&quot;#,##0&quot;年&quot;_);\(#,##0&quot;/kwp&quot;\)"/>
    <numFmt numFmtId="204" formatCode="&quot;&quot;#,##0.00&quot;倍&quot;_);\(#,##0.00&quot;/kwp&quot;\)"/>
    <numFmt numFmtId="205" formatCode="&quot;&quot;#,##0&quot;円/契約&quot;_);\(#,##0&quot;/kwp&quot;\)"/>
    <numFmt numFmtId="206" formatCode="&quot;1KW当たり必要面積　&quot;#,##0.0&quot;㎡&quot;"/>
    <numFmt numFmtId="207" formatCode="#,##0&quot; ㎡&quot;"/>
    <numFmt numFmtId="208" formatCode="0&quot; w&quot;"/>
    <numFmt numFmtId="209" formatCode="&quot;¥&quot;#,##0_);\(&quot;¥&quot;#,##0\)"/>
    <numFmt numFmtId="210" formatCode="#,##0.0&quot; ㎡&quot;"/>
    <numFmt numFmtId="211" formatCode="&quot;¥&quot;#,##0.00_);[Red]\(&quot;¥&quot;#,##0.00\)"/>
    <numFmt numFmtId="212" formatCode="#,##0.00&quot;円/kwh&quot;_);\(#,##0&quot;/kwh&quot;\)"/>
    <numFmt numFmtId="213" formatCode="0.00000%"/>
    <numFmt numFmtId="214" formatCode="&quot;　&quot;###,###&quot;円/㎡&quot;"/>
    <numFmt numFmtId="215" formatCode="00\ &quot;年&quot;"/>
    <numFmt numFmtId="216" formatCode="#,##0.00&quot; kWh/kW&quot;"/>
    <numFmt numFmtId="217" formatCode="0.00&quot; kW&quot;"/>
    <numFmt numFmtId="218" formatCode="&quot;¥&quot;0.00&quot;/kWh&quot;"/>
    <numFmt numFmtId="219" formatCode="0&quot; °&quot;"/>
    <numFmt numFmtId="220" formatCode="0_);[Red]\(0\)"/>
    <numFmt numFmtId="221" formatCode="0.0_);[Red]\(0.0\)"/>
    <numFmt numFmtId="222" formatCode="0.00_);[Red]\(0.00\)"/>
    <numFmt numFmtId="223" formatCode="0.0000000_);[Red]\(0.0000000\)"/>
    <numFmt numFmtId="224" formatCode="0.00000_);[Red]\(0.00000\)"/>
    <numFmt numFmtId="225" formatCode="#,##0&quot;kwh&quot;"/>
    <numFmt numFmtId="226" formatCode="#,##0&quot;w&quot;"/>
    <numFmt numFmtId="227" formatCode="#,##0.00&quot;kw&quot;"/>
    <numFmt numFmtId="228" formatCode="#,##0&quot;枚&quot;"/>
    <numFmt numFmtId="229" formatCode="#,##0&quot;時間&quot;"/>
    <numFmt numFmtId="230" formatCode="&quot;&quot;#,##0.00&quot;年&quot;_);\(#,##0.00&quot;/kwp&quot;\)"/>
    <numFmt numFmtId="231" formatCode="0&quot;年&quot;"/>
    <numFmt numFmtId="232" formatCode="0.0_ ;[Red]\-0.0\ "/>
    <numFmt numFmtId="233" formatCode="#,##0.0&quot; kW&quot;"/>
  </numFmts>
  <fonts count="8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b/>
      <sz val="10"/>
      <name val="ＭＳ Ｐゴシック"/>
      <family val="3"/>
      <charset val="128"/>
    </font>
    <font>
      <b/>
      <sz val="11"/>
      <color indexed="10"/>
      <name val="ＭＳ Ｐゴシック"/>
      <family val="3"/>
      <charset val="128"/>
    </font>
    <font>
      <sz val="9"/>
      <color indexed="8"/>
      <name val="ＭＳ Ｐゴシック"/>
      <family val="3"/>
      <charset val="128"/>
    </font>
    <font>
      <b/>
      <sz val="11"/>
      <color rgb="FF0000FF"/>
      <name val="ＭＳ Ｐゴシック"/>
      <family val="3"/>
      <charset val="128"/>
    </font>
    <font>
      <b/>
      <sz val="10"/>
      <color rgb="FF0000FF"/>
      <name val="ＭＳ Ｐゴシック"/>
      <family val="3"/>
      <charset val="128"/>
    </font>
    <font>
      <b/>
      <sz val="11"/>
      <color rgb="FFFF0000"/>
      <name val="ＭＳ Ｐゴシック"/>
      <family val="3"/>
      <charset val="128"/>
    </font>
    <font>
      <sz val="12"/>
      <name val="ＭＳ Ｐゴシック"/>
      <family val="3"/>
      <charset val="128"/>
    </font>
    <font>
      <b/>
      <sz val="10"/>
      <color rgb="FFFF0000"/>
      <name val="ＭＳ Ｐゴシック"/>
      <family val="3"/>
      <charset val="128"/>
    </font>
    <font>
      <b/>
      <sz val="12"/>
      <name val="ＭＳ Ｐゴシック"/>
      <family val="3"/>
      <charset val="128"/>
    </font>
    <font>
      <b/>
      <sz val="11"/>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font>
    <font>
      <sz val="12"/>
      <name val="宋体"/>
      <family val="3"/>
      <charset val="128"/>
    </font>
    <font>
      <b/>
      <sz val="9"/>
      <name val="ＭＳ Ｐゴシック"/>
      <family val="3"/>
      <charset val="128"/>
    </font>
    <font>
      <sz val="6"/>
      <name val="ＭＳ Ｐゴシック"/>
      <family val="2"/>
      <charset val="128"/>
    </font>
    <font>
      <b/>
      <sz val="11"/>
      <color theme="1"/>
      <name val="ＭＳ Ｐゴシック"/>
      <family val="2"/>
      <charset val="128"/>
    </font>
    <font>
      <sz val="11"/>
      <color rgb="FF006100"/>
      <name val="ＭＳ Ｐゴシック"/>
      <family val="2"/>
      <charset val="128"/>
    </font>
    <font>
      <b/>
      <sz val="16"/>
      <name val="ＭＳ Ｐゴシック"/>
      <family val="3"/>
      <charset val="128"/>
    </font>
    <font>
      <b/>
      <sz val="14"/>
      <color rgb="FF0000FF"/>
      <name val="ＭＳ Ｐゴシック"/>
      <family val="3"/>
      <charset val="128"/>
    </font>
    <font>
      <sz val="11"/>
      <name val="돋움"/>
      <family val="2"/>
    </font>
    <font>
      <b/>
      <sz val="14"/>
      <name val="ＭＳ Ｐゴシック"/>
      <family val="3"/>
      <charset val="128"/>
    </font>
    <font>
      <sz val="14"/>
      <name val="ＭＳ Ｐゴシック"/>
      <family val="3"/>
      <charset val="128"/>
    </font>
    <font>
      <sz val="16"/>
      <name val="ＭＳ Ｐゴシック"/>
      <family val="3"/>
      <charset val="128"/>
    </font>
    <font>
      <b/>
      <sz val="14"/>
      <color rgb="FFFF0000"/>
      <name val="ＭＳ Ｐゴシック"/>
      <family val="3"/>
      <charset val="128"/>
    </font>
    <font>
      <sz val="14"/>
      <color rgb="FF0000FF"/>
      <name val="ＭＳ Ｐゴシック"/>
      <family val="3"/>
      <charset val="128"/>
    </font>
    <font>
      <sz val="9"/>
      <color indexed="81"/>
      <name val="ＭＳ Ｐゴシック"/>
      <family val="3"/>
      <charset val="128"/>
    </font>
    <font>
      <b/>
      <sz val="9"/>
      <color indexed="81"/>
      <name val="ＭＳ Ｐゴシック"/>
      <family val="3"/>
      <charset val="128"/>
    </font>
    <font>
      <b/>
      <sz val="16"/>
      <color rgb="FF0000FF"/>
      <name val="ＭＳ Ｐゴシック"/>
      <family val="3"/>
      <charset val="128"/>
    </font>
    <font>
      <sz val="9"/>
      <color rgb="FF000000"/>
      <name val="ＭＳ Ｐゴシック"/>
      <family val="2"/>
      <charset val="128"/>
    </font>
    <font>
      <b/>
      <sz val="9"/>
      <color rgb="FF000000"/>
      <name val="ＭＳ Ｐゴシック"/>
      <family val="2"/>
      <charset val="128"/>
    </font>
    <font>
      <sz val="12"/>
      <name val="ＭＳ Ｐゴシック"/>
      <family val="2"/>
      <charset val="128"/>
    </font>
    <font>
      <sz val="14"/>
      <name val="ＭＳ Ｐゴシック"/>
      <family val="2"/>
      <charset val="128"/>
    </font>
    <font>
      <sz val="11"/>
      <name val="ＭＳ Ｐゴシック"/>
      <family val="2"/>
      <charset val="128"/>
    </font>
    <font>
      <sz val="11"/>
      <color rgb="FFFF0000"/>
      <name val="ＭＳ Ｐゴシック"/>
      <family val="3"/>
      <charset val="128"/>
    </font>
    <font>
      <u/>
      <sz val="11"/>
      <color theme="10"/>
      <name val="ＭＳ Ｐゴシック"/>
      <family val="2"/>
      <charset val="128"/>
    </font>
    <font>
      <sz val="10"/>
      <color theme="1"/>
      <name val="ＭＳ Ｐゴシック"/>
      <family val="3"/>
      <charset val="128"/>
      <scheme val="minor"/>
    </font>
    <font>
      <sz val="10"/>
      <color theme="1"/>
      <name val="ＭＳ Ｐゴシック"/>
      <family val="2"/>
      <charset val="128"/>
      <scheme val="minor"/>
    </font>
    <font>
      <b/>
      <sz val="12"/>
      <color rgb="FF0000FF"/>
      <name val="ＭＳ Ｐゴシック"/>
      <family val="3"/>
      <charset val="128"/>
    </font>
    <font>
      <sz val="16"/>
      <color theme="1"/>
      <name val="ＭＳ Ｐゴシック"/>
      <family val="2"/>
      <charset val="128"/>
      <scheme val="minor"/>
    </font>
    <font>
      <sz val="14"/>
      <color theme="1"/>
      <name val="ＭＳ Ｐゴシック"/>
      <family val="2"/>
      <charset val="128"/>
      <scheme val="minor"/>
    </font>
    <font>
      <sz val="12"/>
      <color rgb="FFFF0000"/>
      <name val="ＭＳ Ｐゴシック"/>
      <family val="2"/>
      <charset val="128"/>
      <scheme val="minor"/>
    </font>
    <font>
      <b/>
      <sz val="9"/>
      <color rgb="FF000000"/>
      <name val="MS P ゴシック"/>
      <family val="3"/>
      <charset val="128"/>
    </font>
    <font>
      <sz val="9"/>
      <color rgb="FF000000"/>
      <name val="MS P ゴシック"/>
      <family val="3"/>
      <charset val="128"/>
    </font>
    <font>
      <sz val="9"/>
      <color indexed="81"/>
      <name val="MS P ゴシック"/>
      <family val="3"/>
      <charset val="128"/>
    </font>
    <font>
      <b/>
      <sz val="9"/>
      <color indexed="81"/>
      <name val="MS P ゴシック"/>
      <family val="3"/>
      <charset val="128"/>
    </font>
    <font>
      <u/>
      <sz val="11"/>
      <color theme="10"/>
      <name val="ＭＳ Ｐゴシック"/>
      <family val="3"/>
      <charset val="128"/>
    </font>
    <font>
      <b/>
      <sz val="10"/>
      <color theme="1"/>
      <name val="ＭＳ Ｐゴシック"/>
      <family val="3"/>
      <charset val="128"/>
    </font>
    <font>
      <b/>
      <sz val="14"/>
      <color theme="1"/>
      <name val="ＭＳ Ｐゴシック"/>
      <family val="3"/>
      <charset val="128"/>
    </font>
  </fonts>
  <fills count="5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31"/>
      </patternFill>
    </fill>
    <fill>
      <patternFill patternType="solid">
        <fgColor indexed="26"/>
        <bgColor indexed="64"/>
      </patternFill>
    </fill>
    <fill>
      <patternFill patternType="solid">
        <fgColor indexed="31"/>
        <bgColor indexed="64"/>
      </patternFill>
    </fill>
    <fill>
      <patternFill patternType="solid">
        <fgColor indexed="47"/>
        <bgColor indexed="64"/>
      </patternFill>
    </fill>
    <fill>
      <patternFill patternType="solid">
        <fgColor indexed="42"/>
        <bgColor indexed="64"/>
      </patternFill>
    </fill>
    <fill>
      <patternFill patternType="solid">
        <fgColor theme="0"/>
        <bgColor indexed="34"/>
      </patternFill>
    </fill>
    <fill>
      <patternFill patternType="solid">
        <fgColor rgb="FFEBFFFF"/>
        <bgColor indexed="64"/>
      </patternFill>
    </fill>
    <fill>
      <patternFill patternType="solid">
        <fgColor theme="0"/>
        <bgColor indexed="64"/>
      </patternFill>
    </fill>
    <fill>
      <patternFill patternType="solid">
        <fgColor rgb="FFFFFFCC"/>
        <bgColor indexed="64"/>
      </patternFill>
    </fill>
    <fill>
      <patternFill patternType="solid">
        <fgColor theme="8" tint="0.79998168889431442"/>
        <bgColor indexed="64"/>
      </patternFill>
    </fill>
    <fill>
      <patternFill patternType="solid">
        <fgColor rgb="FF99FF99"/>
        <bgColor indexed="64"/>
      </patternFill>
    </fill>
    <fill>
      <patternFill patternType="solid">
        <fgColor rgb="FF66FF99"/>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FF99"/>
        <bgColor indexed="64"/>
      </patternFill>
    </fill>
    <fill>
      <patternFill patternType="solid">
        <fgColor rgb="FFE4C9FF"/>
        <bgColor indexed="64"/>
      </patternFill>
    </fill>
    <fill>
      <patternFill patternType="solid">
        <fgColor theme="7" tint="0.59999389629810485"/>
        <bgColor indexed="64"/>
      </patternFill>
    </fill>
    <fill>
      <patternFill patternType="solid">
        <fgColor rgb="FF00FFFF"/>
        <bgColor indexed="64"/>
      </patternFill>
    </fill>
    <fill>
      <patternFill patternType="solid">
        <fgColor rgb="FF00FF00"/>
        <bgColor indexed="64"/>
      </patternFill>
    </fill>
    <fill>
      <patternFill patternType="solid">
        <fgColor rgb="FF00FF00"/>
        <bgColor indexed="27"/>
      </patternFill>
    </fill>
    <fill>
      <patternFill patternType="solid">
        <fgColor rgb="FFFFFFFF"/>
        <bgColor indexed="64"/>
      </patternFill>
    </fill>
    <fill>
      <patternFill patternType="solid">
        <fgColor rgb="FFCCFFCC"/>
        <bgColor indexed="64"/>
      </patternFill>
    </fill>
    <fill>
      <patternFill patternType="solid">
        <fgColor theme="9" tint="0.59999389629810485"/>
        <bgColor indexed="64"/>
      </patternFill>
    </fill>
    <fill>
      <patternFill patternType="solid">
        <fgColor rgb="FFC6EFCE"/>
      </patternFill>
    </fill>
    <fill>
      <patternFill patternType="solid">
        <fgColor rgb="FF99FF99"/>
        <bgColor indexed="34"/>
      </patternFill>
    </fill>
    <fill>
      <patternFill patternType="solid">
        <fgColor theme="9" tint="0.79998168889431442"/>
        <bgColor indexed="64"/>
      </patternFill>
    </fill>
    <fill>
      <patternFill patternType="solid">
        <fgColor rgb="FF9BFFFF"/>
        <bgColor indexed="64"/>
      </patternFill>
    </fill>
    <fill>
      <patternFill patternType="solid">
        <fgColor rgb="FFCC99FF"/>
        <bgColor indexed="64"/>
      </patternFill>
    </fill>
    <fill>
      <patternFill patternType="solid">
        <fgColor theme="6" tint="0.79998168889431442"/>
        <bgColor indexed="64"/>
      </patternFill>
    </fill>
    <fill>
      <patternFill patternType="solid">
        <fgColor rgb="FFFFFF00"/>
        <bgColor indexed="3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99FF"/>
        <bgColor indexed="34"/>
      </patternFill>
    </fill>
    <fill>
      <patternFill patternType="solid">
        <fgColor rgb="FFFFFF99"/>
        <bgColor indexed="34"/>
      </patternFill>
    </fill>
  </fills>
  <borders count="25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indexed="8"/>
      </left>
      <right style="thin">
        <color indexed="8"/>
      </right>
      <top style="thick">
        <color indexed="8"/>
      </top>
      <bottom style="thick">
        <color auto="1"/>
      </bottom>
      <diagonal/>
    </border>
    <border>
      <left style="thin">
        <color indexed="8"/>
      </left>
      <right style="thin">
        <color indexed="8"/>
      </right>
      <top style="thick">
        <color indexed="8"/>
      </top>
      <bottom style="thick">
        <color auto="1"/>
      </bottom>
      <diagonal/>
    </border>
    <border>
      <left style="thin">
        <color indexed="8"/>
      </left>
      <right style="thick">
        <color indexed="8"/>
      </right>
      <top style="thick">
        <color indexed="8"/>
      </top>
      <bottom style="thick">
        <color auto="1"/>
      </bottom>
      <diagonal/>
    </border>
    <border>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right style="thin">
        <color auto="1"/>
      </right>
      <top style="thin">
        <color auto="1"/>
      </top>
      <bottom style="thick">
        <color auto="1"/>
      </bottom>
      <diagonal/>
    </border>
    <border>
      <left style="thick">
        <color auto="1"/>
      </left>
      <right style="hair">
        <color auto="1"/>
      </right>
      <top style="thick">
        <color auto="1"/>
      </top>
      <bottom style="hair">
        <color auto="1"/>
      </bottom>
      <diagonal/>
    </border>
    <border>
      <left style="hair">
        <color auto="1"/>
      </left>
      <right style="hair">
        <color auto="1"/>
      </right>
      <top style="thick">
        <color auto="1"/>
      </top>
      <bottom style="hair">
        <color auto="1"/>
      </bottom>
      <diagonal/>
    </border>
    <border>
      <left style="hair">
        <color auto="1"/>
      </left>
      <right style="thick">
        <color auto="1"/>
      </right>
      <top style="thick">
        <color auto="1"/>
      </top>
      <bottom style="hair">
        <color auto="1"/>
      </bottom>
      <diagonal/>
    </border>
    <border>
      <left style="hair">
        <color auto="1"/>
      </left>
      <right style="hair">
        <color auto="1"/>
      </right>
      <top style="hair">
        <color auto="1"/>
      </top>
      <bottom style="hair">
        <color auto="1"/>
      </bottom>
      <diagonal/>
    </border>
    <border>
      <left style="hair">
        <color auto="1"/>
      </left>
      <right style="thick">
        <color auto="1"/>
      </right>
      <top style="hair">
        <color auto="1"/>
      </top>
      <bottom style="hair">
        <color auto="1"/>
      </bottom>
      <diagonal/>
    </border>
    <border>
      <left style="thick">
        <color auto="1"/>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ck">
        <color auto="1"/>
      </right>
      <top style="hair">
        <color auto="1"/>
      </top>
      <bottom style="thick">
        <color auto="1"/>
      </bottom>
      <diagonal/>
    </border>
    <border>
      <left/>
      <right/>
      <top style="thin">
        <color auto="1"/>
      </top>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indexed="8"/>
      </left>
      <right style="thin">
        <color auto="1"/>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top style="thick">
        <color auto="1"/>
      </top>
      <bottom style="thin">
        <color auto="1"/>
      </bottom>
      <diagonal/>
    </border>
    <border>
      <left style="thin">
        <color auto="1"/>
      </left>
      <right style="thin">
        <color indexed="8"/>
      </right>
      <top style="thin">
        <color indexed="8"/>
      </top>
      <bottom style="thin">
        <color auto="1"/>
      </bottom>
      <diagonal/>
    </border>
    <border>
      <left/>
      <right/>
      <top/>
      <bottom style="thin">
        <color indexed="8"/>
      </bottom>
      <diagonal/>
    </border>
    <border>
      <left/>
      <right style="thick">
        <color auto="1"/>
      </right>
      <top style="thick">
        <color auto="1"/>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ck">
        <color rgb="FF0000FF"/>
      </left>
      <right/>
      <top style="thick">
        <color rgb="FF0000FF"/>
      </top>
      <bottom style="thick">
        <color rgb="FF0000FF"/>
      </bottom>
      <diagonal/>
    </border>
    <border>
      <left/>
      <right style="thick">
        <color rgb="FF0000FF"/>
      </right>
      <top style="thick">
        <color rgb="FF0000FF"/>
      </top>
      <bottom style="thick">
        <color rgb="FF0000FF"/>
      </bottom>
      <diagonal/>
    </border>
    <border>
      <left/>
      <right/>
      <top style="thick">
        <color rgb="FF0000FF"/>
      </top>
      <bottom style="thick">
        <color rgb="FF0000FF"/>
      </bottom>
      <diagonal/>
    </border>
    <border>
      <left/>
      <right style="thin">
        <color auto="1"/>
      </right>
      <top style="thin">
        <color auto="1"/>
      </top>
      <bottom style="thin">
        <color auto="1"/>
      </bottom>
      <diagonal/>
    </border>
    <border>
      <left/>
      <right/>
      <top style="thick">
        <color auto="1"/>
      </top>
      <bottom style="thin">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style="thin">
        <color auto="1"/>
      </left>
      <right style="thick">
        <color auto="1"/>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diagonal/>
    </border>
    <border>
      <left style="thick">
        <color auto="1"/>
      </left>
      <right style="thin">
        <color auto="1"/>
      </right>
      <top style="thin">
        <color auto="1"/>
      </top>
      <bottom style="medium">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medium">
        <color rgb="FF7030A0"/>
      </left>
      <right style="medium">
        <color rgb="FF7030A0"/>
      </right>
      <top style="medium">
        <color rgb="FF7030A0"/>
      </top>
      <bottom style="medium">
        <color rgb="FF7030A0"/>
      </bottom>
      <diagonal/>
    </border>
    <border>
      <left/>
      <right style="medium">
        <color rgb="FF7030A0"/>
      </right>
      <top style="medium">
        <color rgb="FF7030A0"/>
      </top>
      <bottom style="medium">
        <color rgb="FF7030A0"/>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n">
        <color auto="1"/>
      </left>
      <right/>
      <top style="thin">
        <color auto="1"/>
      </top>
      <bottom/>
      <diagonal/>
    </border>
    <border>
      <left style="thin">
        <color auto="1"/>
      </left>
      <right style="thin">
        <color indexed="8"/>
      </right>
      <top/>
      <bottom/>
      <diagonal/>
    </border>
    <border>
      <left style="thin">
        <color indexed="8"/>
      </left>
      <right style="thin">
        <color auto="1"/>
      </right>
      <top style="thin">
        <color indexed="8"/>
      </top>
      <bottom style="thin">
        <color indexed="8"/>
      </bottom>
      <diagonal/>
    </border>
    <border>
      <left style="thin">
        <color auto="1"/>
      </left>
      <right style="thin">
        <color indexed="8"/>
      </right>
      <top/>
      <bottom style="thin">
        <color indexed="8"/>
      </bottom>
      <diagonal/>
    </border>
    <border>
      <left style="thin">
        <color auto="1"/>
      </left>
      <right style="thin">
        <color indexed="8"/>
      </right>
      <top style="thin">
        <color indexed="8"/>
      </top>
      <bottom/>
      <diagonal/>
    </border>
    <border>
      <left style="thin">
        <color auto="1"/>
      </left>
      <right style="thin">
        <color indexed="8"/>
      </right>
      <top style="thin">
        <color indexed="8"/>
      </top>
      <bottom style="thin">
        <color indexed="8"/>
      </bottom>
      <diagonal/>
    </border>
    <border>
      <left/>
      <right style="thin">
        <color auto="1"/>
      </right>
      <top/>
      <bottom/>
      <diagonal/>
    </border>
    <border>
      <left style="thin">
        <color auto="1"/>
      </left>
      <right style="thin">
        <color indexed="8"/>
      </right>
      <top style="thin">
        <color indexed="8"/>
      </top>
      <bottom style="thin">
        <color auto="1"/>
      </bottom>
      <diagonal/>
    </border>
    <border>
      <left style="thin">
        <color indexed="8"/>
      </left>
      <right/>
      <top style="thin">
        <color indexed="8"/>
      </top>
      <bottom style="thin">
        <color auto="1"/>
      </bottom>
      <diagonal/>
    </border>
    <border>
      <left style="thick">
        <color rgb="FF0000FF"/>
      </left>
      <right style="thin">
        <color auto="1"/>
      </right>
      <top style="thick">
        <color rgb="FF0000FF"/>
      </top>
      <bottom style="thick">
        <color rgb="FF0000FF"/>
      </bottom>
      <diagonal/>
    </border>
    <border>
      <left style="thin">
        <color auto="1"/>
      </left>
      <right style="thick">
        <color rgb="FF0000FF"/>
      </right>
      <top style="thick">
        <color rgb="FF0000FF"/>
      </top>
      <bottom style="thick">
        <color rgb="FF0000FF"/>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ck">
        <color auto="1"/>
      </top>
      <bottom style="thick">
        <color auto="1"/>
      </bottom>
      <diagonal/>
    </border>
    <border>
      <left/>
      <right style="hair">
        <color auto="1"/>
      </right>
      <top style="thick">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ck">
        <color auto="1"/>
      </bottom>
      <diagonal/>
    </border>
    <border>
      <left style="thick">
        <color auto="1"/>
      </left>
      <right style="medium">
        <color auto="1"/>
      </right>
      <top style="thick">
        <color auto="1"/>
      </top>
      <bottom style="hair">
        <color auto="1"/>
      </bottom>
      <diagonal/>
    </border>
    <border>
      <left style="thick">
        <color auto="1"/>
      </left>
      <right style="medium">
        <color auto="1"/>
      </right>
      <top style="hair">
        <color auto="1"/>
      </top>
      <bottom style="hair">
        <color auto="1"/>
      </bottom>
      <diagonal/>
    </border>
    <border>
      <left style="thick">
        <color auto="1"/>
      </left>
      <right style="medium">
        <color auto="1"/>
      </right>
      <top style="hair">
        <color auto="1"/>
      </top>
      <bottom style="thick">
        <color auto="1"/>
      </bottom>
      <diagonal/>
    </border>
    <border>
      <left style="medium">
        <color auto="1"/>
      </left>
      <right/>
      <top style="thick">
        <color auto="1"/>
      </top>
      <bottom style="hair">
        <color auto="1"/>
      </bottom>
      <diagonal/>
    </border>
    <border>
      <left style="medium">
        <color auto="1"/>
      </left>
      <right/>
      <top style="hair">
        <color auto="1"/>
      </top>
      <bottom style="hair">
        <color auto="1"/>
      </bottom>
      <diagonal/>
    </border>
    <border>
      <left style="medium">
        <color auto="1"/>
      </left>
      <right/>
      <top style="hair">
        <color auto="1"/>
      </top>
      <bottom style="thick">
        <color auto="1"/>
      </bottom>
      <diagonal/>
    </border>
    <border>
      <left style="medium">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medium">
        <color auto="1"/>
      </right>
      <top style="thick">
        <color auto="1"/>
      </top>
      <bottom style="thick">
        <color auto="1"/>
      </bottom>
      <diagonal/>
    </border>
    <border>
      <left style="medium">
        <color auto="1"/>
      </left>
      <right style="thin">
        <color auto="1"/>
      </right>
      <top style="thick">
        <color auto="1"/>
      </top>
      <bottom style="hair">
        <color auto="1"/>
      </bottom>
      <diagonal/>
    </border>
    <border>
      <left style="thin">
        <color auto="1"/>
      </left>
      <right style="thin">
        <color auto="1"/>
      </right>
      <top style="thick">
        <color auto="1"/>
      </top>
      <bottom style="hair">
        <color auto="1"/>
      </bottom>
      <diagonal/>
    </border>
    <border>
      <left style="thin">
        <color auto="1"/>
      </left>
      <right style="medium">
        <color auto="1"/>
      </right>
      <top style="thick">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ck">
        <color auto="1"/>
      </bottom>
      <diagonal/>
    </border>
    <border>
      <left style="thin">
        <color auto="1"/>
      </left>
      <right style="thin">
        <color auto="1"/>
      </right>
      <top style="hair">
        <color auto="1"/>
      </top>
      <bottom style="thick">
        <color auto="1"/>
      </bottom>
      <diagonal/>
    </border>
    <border>
      <left style="thin">
        <color auto="1"/>
      </left>
      <right style="medium">
        <color auto="1"/>
      </right>
      <top style="hair">
        <color auto="1"/>
      </top>
      <bottom style="thick">
        <color auto="1"/>
      </bottom>
      <diagonal/>
    </border>
    <border>
      <left style="thick">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thick">
        <color auto="1"/>
      </right>
      <top style="hair">
        <color auto="1"/>
      </top>
      <bottom style="medium">
        <color auto="1"/>
      </bottom>
      <diagonal/>
    </border>
    <border>
      <left style="thick">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thick">
        <color auto="1"/>
      </right>
      <top style="medium">
        <color auto="1"/>
      </top>
      <bottom style="hair">
        <color auto="1"/>
      </bottom>
      <diagonal/>
    </border>
    <border>
      <left style="thick">
        <color auto="1"/>
      </left>
      <right style="medium">
        <color auto="1"/>
      </right>
      <top/>
      <bottom style="thick">
        <color auto="1"/>
      </bottom>
      <diagonal/>
    </border>
    <border>
      <left style="medium">
        <color auto="1"/>
      </left>
      <right/>
      <top/>
      <bottom style="thick">
        <color auto="1"/>
      </bottom>
      <diagonal/>
    </border>
    <border>
      <left style="medium">
        <color auto="1"/>
      </left>
      <right style="thin">
        <color auto="1"/>
      </right>
      <top/>
      <bottom style="thick">
        <color auto="1"/>
      </bottom>
      <diagonal/>
    </border>
    <border>
      <left style="thin">
        <color auto="1"/>
      </left>
      <right style="medium">
        <color auto="1"/>
      </right>
      <top/>
      <bottom style="thick">
        <color auto="1"/>
      </bottom>
      <diagonal/>
    </border>
    <border>
      <left/>
      <right style="hair">
        <color auto="1"/>
      </right>
      <top/>
      <bottom style="thick">
        <color auto="1"/>
      </bottom>
      <diagonal/>
    </border>
    <border>
      <left style="hair">
        <color auto="1"/>
      </left>
      <right style="hair">
        <color auto="1"/>
      </right>
      <top/>
      <bottom style="thick">
        <color auto="1"/>
      </bottom>
      <diagonal/>
    </border>
    <border>
      <left style="hair">
        <color auto="1"/>
      </left>
      <right style="thick">
        <color auto="1"/>
      </right>
      <top/>
      <bottom style="thick">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theme="1"/>
      </left>
      <right style="thin">
        <color theme="1"/>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bottom/>
      <diagonal/>
    </border>
    <border>
      <left/>
      <right style="thin">
        <color indexed="8"/>
      </right>
      <top style="thin">
        <color indexed="8"/>
      </top>
      <bottom/>
      <diagonal/>
    </border>
    <border>
      <left style="thin">
        <color auto="1"/>
      </left>
      <right style="thin">
        <color indexed="8"/>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ck">
        <color auto="1"/>
      </left>
      <right style="thin">
        <color indexed="8"/>
      </right>
      <top style="thick">
        <color auto="1"/>
      </top>
      <bottom style="thin">
        <color indexed="8"/>
      </bottom>
      <diagonal/>
    </border>
    <border>
      <left style="thin">
        <color indexed="8"/>
      </left>
      <right style="thin">
        <color indexed="8"/>
      </right>
      <top style="thick">
        <color auto="1"/>
      </top>
      <bottom style="thin">
        <color indexed="8"/>
      </bottom>
      <diagonal/>
    </border>
    <border>
      <left style="thin">
        <color indexed="8"/>
      </left>
      <right/>
      <top style="thick">
        <color auto="1"/>
      </top>
      <bottom style="thin">
        <color indexed="8"/>
      </bottom>
      <diagonal/>
    </border>
    <border>
      <left style="thick">
        <color auto="1"/>
      </left>
      <right style="thin">
        <color indexed="8"/>
      </right>
      <top style="thin">
        <color indexed="8"/>
      </top>
      <bottom style="thin">
        <color indexed="8"/>
      </bottom>
      <diagonal/>
    </border>
    <border>
      <left style="thick">
        <color auto="1"/>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diagonal/>
    </border>
    <border>
      <left style="thick">
        <color auto="1"/>
      </left>
      <right style="thin">
        <color indexed="8"/>
      </right>
      <top/>
      <bottom style="thin">
        <color indexed="8"/>
      </bottom>
      <diagonal/>
    </border>
    <border>
      <left style="thick">
        <color rgb="FF0000FF"/>
      </left>
      <right/>
      <top style="thick">
        <color rgb="FF0000FF"/>
      </top>
      <bottom/>
      <diagonal/>
    </border>
    <border>
      <left/>
      <right style="thick">
        <color rgb="FF0000FF"/>
      </right>
      <top style="thick">
        <color rgb="FF0000FF"/>
      </top>
      <bottom/>
      <diagonal/>
    </border>
    <border>
      <left/>
      <right/>
      <top style="thick">
        <color rgb="FF0000FF"/>
      </top>
      <bottom/>
      <diagonal/>
    </border>
    <border>
      <left style="thick">
        <color rgb="FFC00000"/>
      </left>
      <right style="thick">
        <color rgb="FFC00000"/>
      </right>
      <top style="thick">
        <color rgb="FFC00000"/>
      </top>
      <bottom/>
      <diagonal/>
    </border>
    <border>
      <left style="thin">
        <color theme="1"/>
      </left>
      <right style="thin">
        <color theme="1"/>
      </right>
      <top style="thick">
        <color auto="1"/>
      </top>
      <bottom style="thin">
        <color indexed="8"/>
      </bottom>
      <diagonal/>
    </border>
    <border>
      <left/>
      <right style="thin">
        <color indexed="8"/>
      </right>
      <top style="thick">
        <color auto="1"/>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style="thin">
        <color auto="1"/>
      </bottom>
      <diagonal/>
    </border>
    <border>
      <left style="thin">
        <color indexed="8"/>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indexed="8"/>
      </left>
      <right style="thin">
        <color indexed="8"/>
      </right>
      <top style="medium">
        <color indexed="64"/>
      </top>
      <bottom style="thin">
        <color auto="1"/>
      </bottom>
      <diagonal/>
    </border>
    <border>
      <left style="thin">
        <color indexed="8"/>
      </left>
      <right/>
      <top style="medium">
        <color indexed="64"/>
      </top>
      <bottom style="thin">
        <color auto="1"/>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medium">
        <color indexed="64"/>
      </top>
      <bottom/>
      <diagonal/>
    </border>
    <border>
      <left/>
      <right/>
      <top/>
      <bottom style="thin">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auto="1"/>
      </left>
      <right style="medium">
        <color auto="1"/>
      </right>
      <top style="medium">
        <color auto="1"/>
      </top>
      <bottom/>
      <diagonal/>
    </border>
    <border>
      <left style="thin">
        <color auto="1"/>
      </left>
      <right style="medium">
        <color indexed="64"/>
      </right>
      <top style="thin">
        <color auto="1"/>
      </top>
      <bottom style="medium">
        <color indexed="64"/>
      </bottom>
      <diagonal/>
    </border>
    <border>
      <left/>
      <right/>
      <top style="thick">
        <color rgb="FFFF0000"/>
      </top>
      <bottom/>
      <diagonal/>
    </border>
    <border>
      <left/>
      <right/>
      <top/>
      <bottom style="thick">
        <color rgb="FFFF0000"/>
      </bottom>
      <diagonal/>
    </border>
    <border>
      <left style="thin">
        <color auto="1"/>
      </left>
      <right style="thick">
        <color rgb="FFFF0000"/>
      </right>
      <top style="medium">
        <color auto="1"/>
      </top>
      <bottom/>
      <diagonal/>
    </border>
    <border>
      <left style="thick">
        <color rgb="FFFF0000"/>
      </left>
      <right style="thin">
        <color indexed="64"/>
      </right>
      <top style="thick">
        <color rgb="FFFF0000"/>
      </top>
      <bottom style="thick">
        <color rgb="FFFF0000"/>
      </bottom>
      <diagonal/>
    </border>
    <border>
      <left style="thin">
        <color theme="1"/>
      </left>
      <right style="thin">
        <color theme="0"/>
      </right>
      <top style="thick">
        <color rgb="FFFF0000"/>
      </top>
      <bottom style="thick">
        <color rgb="FFFF0000"/>
      </bottom>
      <diagonal/>
    </border>
    <border>
      <left style="thin">
        <color indexed="64"/>
      </left>
      <right/>
      <top style="thick">
        <color rgb="FFFF0000"/>
      </top>
      <bottom style="thick">
        <color rgb="FFFF0000"/>
      </bottom>
      <diagonal/>
    </border>
    <border>
      <left/>
      <right style="thin">
        <color auto="1"/>
      </right>
      <top style="medium">
        <color auto="1"/>
      </top>
      <bottom/>
      <diagonal/>
    </border>
    <border>
      <left/>
      <right style="thick">
        <color rgb="FFFF0000"/>
      </right>
      <top style="thick">
        <color rgb="FFFF0000"/>
      </top>
      <bottom/>
      <diagonal/>
    </border>
    <border>
      <left/>
      <right style="thick">
        <color rgb="FFFF0000"/>
      </right>
      <top/>
      <bottom style="thick">
        <color rgb="FFFF0000"/>
      </bottom>
      <diagonal/>
    </border>
    <border>
      <left/>
      <right style="thin">
        <color auto="1"/>
      </right>
      <top style="thin">
        <color auto="1"/>
      </top>
      <bottom/>
      <diagonal/>
    </border>
    <border>
      <left style="thin">
        <color auto="1"/>
      </left>
      <right style="medium">
        <color indexed="64"/>
      </right>
      <top style="thin">
        <color auto="1"/>
      </top>
      <bottom/>
      <diagonal/>
    </border>
    <border>
      <left style="thick">
        <color rgb="FFFF0000"/>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right/>
      <top style="thin">
        <color auto="1"/>
      </top>
      <bottom style="thin">
        <color auto="1"/>
      </bottom>
      <diagonal/>
    </border>
    <border>
      <left style="thin">
        <color indexed="8"/>
      </left>
      <right/>
      <top style="thin">
        <color indexed="8"/>
      </top>
      <bottom/>
      <diagonal/>
    </border>
    <border>
      <left style="medium">
        <color auto="1"/>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ck">
        <color auto="1"/>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indexed="8"/>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indexed="64"/>
      </top>
      <bottom style="medium">
        <color indexed="64"/>
      </bottom>
      <diagonal/>
    </border>
    <border>
      <left style="thin">
        <color auto="1"/>
      </left>
      <right/>
      <top style="medium">
        <color indexed="64"/>
      </top>
      <bottom style="medium">
        <color indexed="64"/>
      </bottom>
      <diagonal/>
    </border>
  </borders>
  <cellStyleXfs count="68">
    <xf numFmtId="0" fontId="0" fillId="0" borderId="0">
      <alignment vertical="center"/>
    </xf>
    <xf numFmtId="0" fontId="8" fillId="2" borderId="0" applyNumberFormat="0" applyBorder="0" applyProtection="0">
      <alignment vertical="center"/>
    </xf>
    <xf numFmtId="0" fontId="8" fillId="3" borderId="0" applyNumberFormat="0" applyBorder="0" applyProtection="0">
      <alignment vertical="center"/>
    </xf>
    <xf numFmtId="0" fontId="8" fillId="4" borderId="0" applyNumberFormat="0" applyBorder="0" applyProtection="0">
      <alignment vertical="center"/>
    </xf>
    <xf numFmtId="0" fontId="8" fillId="5" borderId="0" applyNumberFormat="0" applyBorder="0" applyProtection="0">
      <alignment vertical="center"/>
    </xf>
    <xf numFmtId="0" fontId="8" fillId="6" borderId="0" applyNumberFormat="0" applyBorder="0" applyProtection="0">
      <alignment vertical="center"/>
    </xf>
    <xf numFmtId="0" fontId="8" fillId="7" borderId="0" applyNumberFormat="0" applyBorder="0" applyProtection="0">
      <alignment vertical="center"/>
    </xf>
    <xf numFmtId="0" fontId="8" fillId="8" borderId="0" applyNumberFormat="0" applyBorder="0" applyProtection="0">
      <alignment vertical="center"/>
    </xf>
    <xf numFmtId="0" fontId="8" fillId="9" borderId="0" applyNumberFormat="0" applyBorder="0" applyProtection="0">
      <alignment vertical="center"/>
    </xf>
    <xf numFmtId="0" fontId="8" fillId="10" borderId="0" applyNumberFormat="0" applyBorder="0" applyProtection="0">
      <alignment vertical="center"/>
    </xf>
    <xf numFmtId="0" fontId="8" fillId="5" borderId="0" applyNumberFormat="0" applyBorder="0" applyProtection="0">
      <alignment vertical="center"/>
    </xf>
    <xf numFmtId="0" fontId="8" fillId="8" borderId="0" applyNumberFormat="0" applyBorder="0" applyProtection="0">
      <alignment vertical="center"/>
    </xf>
    <xf numFmtId="0" fontId="8" fillId="11" borderId="0" applyNumberFormat="0" applyBorder="0" applyProtection="0">
      <alignment vertical="center"/>
    </xf>
    <xf numFmtId="0" fontId="9" fillId="12" borderId="0" applyNumberFormat="0" applyBorder="0" applyProtection="0">
      <alignment vertical="center"/>
    </xf>
    <xf numFmtId="0" fontId="9" fillId="9" borderId="0" applyNumberFormat="0" applyBorder="0" applyProtection="0">
      <alignment vertical="center"/>
    </xf>
    <xf numFmtId="0" fontId="9" fillId="10" borderId="0" applyNumberFormat="0" applyBorder="0" applyProtection="0">
      <alignment vertical="center"/>
    </xf>
    <xf numFmtId="0" fontId="9" fillId="13" borderId="0" applyNumberFormat="0" applyBorder="0" applyProtection="0">
      <alignment vertical="center"/>
    </xf>
    <xf numFmtId="0" fontId="9" fillId="14" borderId="0" applyNumberFormat="0" applyBorder="0" applyProtection="0">
      <alignment vertical="center"/>
    </xf>
    <xf numFmtId="0" fontId="9" fillId="15" borderId="0" applyNumberFormat="0" applyBorder="0" applyProtection="0">
      <alignment vertical="center"/>
    </xf>
    <xf numFmtId="0" fontId="9" fillId="16" borderId="0" applyNumberFormat="0" applyBorder="0" applyProtection="0">
      <alignment vertical="center"/>
    </xf>
    <xf numFmtId="0" fontId="9" fillId="17" borderId="0" applyNumberFormat="0" applyBorder="0" applyProtection="0">
      <alignment vertical="center"/>
    </xf>
    <xf numFmtId="0" fontId="9" fillId="18" borderId="0" applyNumberFormat="0" applyBorder="0" applyProtection="0">
      <alignment vertical="center"/>
    </xf>
    <xf numFmtId="0" fontId="9" fillId="13" borderId="0" applyNumberFormat="0" applyBorder="0" applyProtection="0">
      <alignment vertical="center"/>
    </xf>
    <xf numFmtId="0" fontId="9" fillId="14" borderId="0" applyNumberFormat="0" applyBorder="0" applyProtection="0">
      <alignment vertical="center"/>
    </xf>
    <xf numFmtId="0" fontId="9" fillId="19" borderId="0" applyNumberFormat="0" applyBorder="0" applyProtection="0">
      <alignment vertical="center"/>
    </xf>
    <xf numFmtId="0" fontId="10" fillId="0" borderId="0" applyNumberFormat="0" applyFill="0" applyBorder="0" applyProtection="0">
      <alignment vertical="center"/>
    </xf>
    <xf numFmtId="0" fontId="11" fillId="20" borderId="1" applyNumberFormat="0" applyProtection="0">
      <alignment vertical="center"/>
    </xf>
    <xf numFmtId="0" fontId="12" fillId="21" borderId="0" applyNumberFormat="0" applyBorder="0" applyProtection="0">
      <alignment vertical="center"/>
    </xf>
    <xf numFmtId="9" fontId="27" fillId="0" borderId="0" applyFill="0" applyBorder="0" applyProtection="0">
      <alignment vertical="center"/>
    </xf>
    <xf numFmtId="0" fontId="27" fillId="22" borderId="2" applyNumberFormat="0" applyProtection="0">
      <alignment vertical="center"/>
    </xf>
    <xf numFmtId="0" fontId="13" fillId="0" borderId="3" applyNumberFormat="0" applyFill="0" applyProtection="0">
      <alignment vertical="center"/>
    </xf>
    <xf numFmtId="0" fontId="14" fillId="3" borderId="0" applyNumberFormat="0" applyBorder="0" applyProtection="0">
      <alignment vertical="center"/>
    </xf>
    <xf numFmtId="0" fontId="15" fillId="23" borderId="4" applyNumberFormat="0" applyProtection="0">
      <alignment vertical="center"/>
    </xf>
    <xf numFmtId="0" fontId="16" fillId="0" borderId="0" applyNumberFormat="0" applyFill="0" applyBorder="0" applyProtection="0">
      <alignment vertical="center"/>
    </xf>
    <xf numFmtId="38" fontId="27" fillId="0" borderId="0" applyFill="0" applyBorder="0" applyProtection="0">
      <alignment vertical="center"/>
    </xf>
    <xf numFmtId="0" fontId="17" fillId="0" borderId="5" applyNumberFormat="0" applyFill="0" applyProtection="0">
      <alignment vertical="center"/>
    </xf>
    <xf numFmtId="0" fontId="18" fillId="0" borderId="6" applyNumberFormat="0" applyFill="0" applyProtection="0">
      <alignment vertical="center"/>
    </xf>
    <xf numFmtId="0" fontId="19" fillId="0" borderId="7" applyNumberFormat="0" applyFill="0" applyProtection="0">
      <alignment vertical="center"/>
    </xf>
    <xf numFmtId="0" fontId="19" fillId="0" borderId="0" applyNumberFormat="0" applyFill="0" applyBorder="0" applyProtection="0">
      <alignment vertical="center"/>
    </xf>
    <xf numFmtId="0" fontId="20" fillId="0" borderId="8" applyNumberFormat="0" applyFill="0" applyProtection="0">
      <alignment vertical="center"/>
    </xf>
    <xf numFmtId="0" fontId="21" fillId="23" borderId="9" applyNumberFormat="0" applyProtection="0">
      <alignment vertical="center"/>
    </xf>
    <xf numFmtId="0" fontId="22" fillId="0" borderId="0" applyNumberFormat="0" applyFill="0" applyBorder="0" applyProtection="0">
      <alignment vertical="center"/>
    </xf>
    <xf numFmtId="0" fontId="23" fillId="7" borderId="4" applyNumberFormat="0" applyProtection="0">
      <alignment vertical="center"/>
    </xf>
    <xf numFmtId="0" fontId="24" fillId="4" borderId="0" applyNumberFormat="0" applyBorder="0" applyProtection="0">
      <alignment vertical="center"/>
    </xf>
    <xf numFmtId="0" fontId="7" fillId="0" borderId="0">
      <alignment vertical="center"/>
    </xf>
    <xf numFmtId="0" fontId="41" fillId="0" borderId="0">
      <alignment vertical="center"/>
    </xf>
    <xf numFmtId="9" fontId="41" fillId="0" borderId="0" applyFont="0" applyFill="0" applyBorder="0" applyAlignment="0" applyProtection="0">
      <alignment vertical="center"/>
    </xf>
    <xf numFmtId="38" fontId="41"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27" fillId="0" borderId="0">
      <alignment vertical="center"/>
    </xf>
    <xf numFmtId="9" fontId="27" fillId="0" borderId="0" applyFont="0" applyFill="0" applyBorder="0" applyAlignment="0" applyProtection="0">
      <alignment vertical="center"/>
    </xf>
    <xf numFmtId="0" fontId="27" fillId="0" borderId="0">
      <alignment vertical="center"/>
    </xf>
    <xf numFmtId="0" fontId="43" fillId="0" borderId="0">
      <alignment vertical="center"/>
    </xf>
    <xf numFmtId="0" fontId="44" fillId="0" borderId="0">
      <alignment vertical="center"/>
    </xf>
    <xf numFmtId="0" fontId="48" fillId="47" borderId="0" applyNumberFormat="0" applyBorder="0" applyAlignment="0" applyProtection="0">
      <alignment vertical="center"/>
    </xf>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179" fontId="51" fillId="0" borderId="0">
      <alignment vertical="center"/>
    </xf>
    <xf numFmtId="6" fontId="27" fillId="0" borderId="0" applyFont="0" applyFill="0" applyBorder="0" applyAlignment="0" applyProtection="0">
      <alignment vertical="center"/>
    </xf>
    <xf numFmtId="0" fontId="4" fillId="0" borderId="0">
      <alignment vertical="center"/>
    </xf>
    <xf numFmtId="0" fontId="66" fillId="0" borderId="0" applyNumberFormat="0" applyFill="0" applyBorder="0" applyAlignment="0" applyProtection="0">
      <alignment vertical="center"/>
    </xf>
    <xf numFmtId="38" fontId="4" fillId="0" borderId="0" applyFont="0" applyFill="0" applyBorder="0" applyAlignment="0" applyProtection="0">
      <alignment vertical="center"/>
    </xf>
    <xf numFmtId="0" fontId="5" fillId="0" borderId="0">
      <alignment vertical="center"/>
    </xf>
    <xf numFmtId="0" fontId="2" fillId="0" borderId="0">
      <alignment vertical="center"/>
    </xf>
    <xf numFmtId="38" fontId="2" fillId="0" borderId="0" applyFont="0" applyFill="0" applyBorder="0" applyAlignment="0" applyProtection="0">
      <alignment vertical="center"/>
    </xf>
    <xf numFmtId="0" fontId="77" fillId="0" borderId="0" applyNumberFormat="0" applyFill="0" applyBorder="0" applyAlignment="0" applyProtection="0">
      <alignment vertical="center"/>
    </xf>
  </cellStyleXfs>
  <cellXfs count="793">
    <xf numFmtId="0" fontId="0" fillId="0" borderId="0" xfId="0">
      <alignment vertical="center"/>
    </xf>
    <xf numFmtId="0" fontId="25" fillId="0" borderId="0" xfId="0" applyFont="1">
      <alignment vertical="center"/>
    </xf>
    <xf numFmtId="0" fontId="0" fillId="0" borderId="0" xfId="0" applyAlignment="1">
      <alignment vertical="center" shrinkToFit="1"/>
    </xf>
    <xf numFmtId="179" fontId="27" fillId="0" borderId="0" xfId="0" applyNumberFormat="1" applyFont="1">
      <alignment vertical="center"/>
    </xf>
    <xf numFmtId="179" fontId="27" fillId="0" borderId="0" xfId="0" applyNumberFormat="1" applyFont="1" applyAlignment="1">
      <alignment vertical="center" shrinkToFit="1"/>
    </xf>
    <xf numFmtId="179" fontId="27" fillId="0" borderId="16" xfId="0" applyNumberFormat="1" applyFont="1" applyBorder="1" applyAlignment="1">
      <alignment vertical="center" shrinkToFit="1"/>
    </xf>
    <xf numFmtId="179" fontId="27" fillId="0" borderId="17" xfId="0" applyNumberFormat="1" applyFont="1" applyBorder="1" applyAlignment="1">
      <alignment vertical="center" shrinkToFit="1"/>
    </xf>
    <xf numFmtId="179" fontId="27" fillId="0" borderId="18" xfId="0" applyNumberFormat="1" applyFont="1" applyBorder="1" applyAlignment="1">
      <alignment horizontal="center" vertical="center" shrinkToFit="1"/>
    </xf>
    <xf numFmtId="179" fontId="27" fillId="0" borderId="19" xfId="0" applyNumberFormat="1" applyFont="1" applyBorder="1" applyAlignment="1">
      <alignment horizontal="center" vertical="center" shrinkToFit="1"/>
    </xf>
    <xf numFmtId="179" fontId="26" fillId="0" borderId="19" xfId="0" applyNumberFormat="1" applyFont="1" applyBorder="1" applyAlignment="1">
      <alignment horizontal="center" vertical="center" wrapText="1" shrinkToFit="1"/>
    </xf>
    <xf numFmtId="179" fontId="27" fillId="0" borderId="20" xfId="0" applyNumberFormat="1" applyFont="1" applyBorder="1" applyAlignment="1">
      <alignment horizontal="center" vertical="center" shrinkToFit="1"/>
    </xf>
    <xf numFmtId="179" fontId="27" fillId="0" borderId="18" xfId="0" applyNumberFormat="1" applyFont="1" applyBorder="1" applyAlignment="1">
      <alignment vertical="center" shrinkToFit="1"/>
    </xf>
    <xf numFmtId="179" fontId="26" fillId="0" borderId="19" xfId="0" applyNumberFormat="1" applyFont="1" applyBorder="1" applyAlignment="1">
      <alignment horizontal="center" vertical="center" shrinkToFit="1"/>
    </xf>
    <xf numFmtId="5" fontId="27" fillId="0" borderId="21" xfId="0" applyNumberFormat="1" applyFont="1" applyBorder="1" applyAlignment="1">
      <alignment vertical="center" shrinkToFit="1"/>
    </xf>
    <xf numFmtId="10" fontId="27" fillId="0" borderId="22" xfId="0" applyNumberFormat="1" applyFont="1" applyBorder="1" applyAlignment="1">
      <alignment vertical="center" shrinkToFit="1"/>
    </xf>
    <xf numFmtId="3" fontId="27" fillId="0" borderId="22" xfId="0" applyNumberFormat="1" applyFont="1" applyBorder="1" applyAlignment="1">
      <alignment vertical="center" shrinkToFit="1"/>
    </xf>
    <xf numFmtId="3" fontId="27" fillId="0" borderId="23" xfId="0" applyNumberFormat="1" applyFont="1" applyBorder="1" applyAlignment="1">
      <alignment vertical="center" shrinkToFit="1"/>
    </xf>
    <xf numFmtId="179" fontId="27" fillId="0" borderId="21" xfId="0" applyNumberFormat="1" applyFont="1" applyBorder="1" applyAlignment="1">
      <alignment vertical="center" shrinkToFit="1"/>
    </xf>
    <xf numFmtId="5" fontId="27" fillId="0" borderId="22" xfId="0" applyNumberFormat="1" applyFont="1" applyBorder="1" applyAlignment="1">
      <alignment vertical="center" shrinkToFit="1"/>
    </xf>
    <xf numFmtId="5" fontId="27" fillId="0" borderId="0" xfId="0" applyNumberFormat="1" applyFont="1" applyAlignment="1">
      <alignment vertical="center" shrinkToFit="1"/>
    </xf>
    <xf numFmtId="10" fontId="27" fillId="0" borderId="0" xfId="0" applyNumberFormat="1" applyFont="1" applyAlignment="1">
      <alignment vertical="center" shrinkToFit="1"/>
    </xf>
    <xf numFmtId="180" fontId="27" fillId="24" borderId="24" xfId="34" applyNumberFormat="1" applyFill="1" applyBorder="1" applyAlignment="1">
      <alignment horizontal="center" vertical="center" shrinkToFit="1"/>
    </xf>
    <xf numFmtId="180" fontId="27" fillId="24" borderId="25" xfId="34" applyNumberFormat="1" applyFill="1" applyBorder="1" applyAlignment="1">
      <alignment horizontal="center" vertical="center" shrinkToFit="1"/>
    </xf>
    <xf numFmtId="180" fontId="27" fillId="24" borderId="26" xfId="34" applyNumberFormat="1" applyFill="1" applyBorder="1" applyAlignment="1">
      <alignment horizontal="center" vertical="center" shrinkToFit="1"/>
    </xf>
    <xf numFmtId="179" fontId="27" fillId="25" borderId="27" xfId="0" applyNumberFormat="1" applyFont="1" applyFill="1" applyBorder="1" applyAlignment="1">
      <alignment vertical="center" shrinkToFit="1"/>
    </xf>
    <xf numFmtId="6" fontId="27" fillId="25" borderId="17" xfId="0" applyNumberFormat="1" applyFont="1" applyFill="1" applyBorder="1" applyAlignment="1">
      <alignment vertical="center" shrinkToFit="1"/>
    </xf>
    <xf numFmtId="5" fontId="27" fillId="25" borderId="17" xfId="0" applyNumberFormat="1" applyFont="1" applyFill="1" applyBorder="1" applyAlignment="1">
      <alignment vertical="center" shrinkToFit="1"/>
    </xf>
    <xf numFmtId="6" fontId="27" fillId="25" borderId="28" xfId="0" applyNumberFormat="1" applyFont="1" applyFill="1" applyBorder="1" applyAlignment="1">
      <alignment vertical="center" shrinkToFit="1"/>
    </xf>
    <xf numFmtId="179" fontId="27" fillId="25" borderId="29" xfId="0" applyNumberFormat="1" applyFont="1" applyFill="1" applyBorder="1" applyAlignment="1">
      <alignment vertical="center" shrinkToFit="1"/>
    </xf>
    <xf numFmtId="6" fontId="27" fillId="25" borderId="22" xfId="0" applyNumberFormat="1" applyFont="1" applyFill="1" applyBorder="1" applyAlignment="1">
      <alignment vertical="center" shrinkToFit="1"/>
    </xf>
    <xf numFmtId="5" fontId="27" fillId="25" borderId="22" xfId="0" applyNumberFormat="1" applyFont="1" applyFill="1" applyBorder="1" applyAlignment="1">
      <alignment vertical="center" shrinkToFit="1"/>
    </xf>
    <xf numFmtId="6" fontId="27" fillId="25" borderId="23" xfId="0" applyNumberFormat="1" applyFont="1" applyFill="1" applyBorder="1" applyAlignment="1">
      <alignment vertical="center" shrinkToFit="1"/>
    </xf>
    <xf numFmtId="179" fontId="27" fillId="26" borderId="27" xfId="0" applyNumberFormat="1" applyFont="1" applyFill="1" applyBorder="1" applyAlignment="1">
      <alignment vertical="center" shrinkToFit="1"/>
    </xf>
    <xf numFmtId="6" fontId="27" fillId="26" borderId="17" xfId="0" applyNumberFormat="1" applyFont="1" applyFill="1" applyBorder="1" applyAlignment="1">
      <alignment vertical="center" shrinkToFit="1"/>
    </xf>
    <xf numFmtId="5" fontId="27" fillId="26" borderId="17" xfId="0" applyNumberFormat="1" applyFont="1" applyFill="1" applyBorder="1" applyAlignment="1">
      <alignment vertical="center" shrinkToFit="1"/>
    </xf>
    <xf numFmtId="6" fontId="27" fillId="26" borderId="28" xfId="0" applyNumberFormat="1" applyFont="1" applyFill="1" applyBorder="1" applyAlignment="1">
      <alignment vertical="center" shrinkToFit="1"/>
    </xf>
    <xf numFmtId="179" fontId="27" fillId="26" borderId="29" xfId="0" applyNumberFormat="1" applyFont="1" applyFill="1" applyBorder="1" applyAlignment="1">
      <alignment vertical="center" shrinkToFit="1"/>
    </xf>
    <xf numFmtId="6" fontId="27" fillId="26" borderId="22" xfId="0" applyNumberFormat="1" applyFont="1" applyFill="1" applyBorder="1" applyAlignment="1">
      <alignment vertical="center" shrinkToFit="1"/>
    </xf>
    <xf numFmtId="5" fontId="27" fillId="26" borderId="22" xfId="0" applyNumberFormat="1" applyFont="1" applyFill="1" applyBorder="1" applyAlignment="1">
      <alignment vertical="center" shrinkToFit="1"/>
    </xf>
    <xf numFmtId="6" fontId="27" fillId="26" borderId="23" xfId="0" applyNumberFormat="1" applyFont="1" applyFill="1" applyBorder="1" applyAlignment="1">
      <alignment vertical="center" shrinkToFit="1"/>
    </xf>
    <xf numFmtId="179" fontId="27" fillId="0" borderId="0" xfId="0" applyNumberFormat="1" applyFont="1" applyAlignment="1">
      <alignment horizontal="center" vertical="center"/>
    </xf>
    <xf numFmtId="6" fontId="27" fillId="0" borderId="0" xfId="0" applyNumberFormat="1" applyFont="1" applyAlignment="1">
      <alignment vertical="center" shrinkToFit="1"/>
    </xf>
    <xf numFmtId="179" fontId="27" fillId="0" borderId="31" xfId="0" applyNumberFormat="1" applyFont="1" applyBorder="1" applyAlignment="1">
      <alignment horizontal="center" vertical="center" shrinkToFit="1"/>
    </xf>
    <xf numFmtId="179" fontId="27" fillId="0" borderId="32" xfId="0" applyNumberFormat="1" applyFont="1" applyBorder="1" applyAlignment="1">
      <alignment horizontal="center" vertical="center" shrinkToFit="1"/>
    </xf>
    <xf numFmtId="179" fontId="27" fillId="0" borderId="30" xfId="0" applyNumberFormat="1" applyFont="1" applyBorder="1" applyAlignment="1">
      <alignment vertical="center" shrinkToFit="1"/>
    </xf>
    <xf numFmtId="179" fontId="27" fillId="0" borderId="31" xfId="0" applyNumberFormat="1" applyFont="1" applyBorder="1" applyAlignment="1">
      <alignment vertical="center" shrinkToFit="1"/>
    </xf>
    <xf numFmtId="3" fontId="27" fillId="0" borderId="33" xfId="0" applyNumberFormat="1" applyFont="1" applyBorder="1" applyAlignment="1">
      <alignment vertical="center" shrinkToFit="1"/>
    </xf>
    <xf numFmtId="6" fontId="27" fillId="0" borderId="33" xfId="0" applyNumberFormat="1" applyFont="1" applyBorder="1" applyAlignment="1">
      <alignment vertical="center" shrinkToFit="1"/>
    </xf>
    <xf numFmtId="179" fontId="27" fillId="0" borderId="33" xfId="0" applyNumberFormat="1" applyFont="1" applyBorder="1" applyAlignment="1">
      <alignment vertical="center" shrinkToFit="1"/>
    </xf>
    <xf numFmtId="179" fontId="27" fillId="0" borderId="34" xfId="0" applyNumberFormat="1" applyFont="1" applyBorder="1" applyAlignment="1">
      <alignment vertical="center" shrinkToFit="1"/>
    </xf>
    <xf numFmtId="6" fontId="27" fillId="0" borderId="34" xfId="0" applyNumberFormat="1" applyFont="1" applyBorder="1" applyAlignment="1">
      <alignment vertical="center" shrinkToFit="1"/>
    </xf>
    <xf numFmtId="179" fontId="27" fillId="0" borderId="35" xfId="0" applyNumberFormat="1" applyFont="1" applyBorder="1" applyAlignment="1">
      <alignment vertical="center" shrinkToFit="1"/>
    </xf>
    <xf numFmtId="179" fontId="27" fillId="0" borderId="36" xfId="0" applyNumberFormat="1" applyFont="1" applyBorder="1" applyAlignment="1">
      <alignment vertical="center" shrinkToFit="1"/>
    </xf>
    <xf numFmtId="5" fontId="27" fillId="0" borderId="36" xfId="34" applyNumberFormat="1" applyBorder="1" applyAlignment="1">
      <alignment vertical="center" shrinkToFit="1"/>
    </xf>
    <xf numFmtId="5" fontId="27" fillId="0" borderId="37" xfId="34" applyNumberFormat="1" applyBorder="1" applyAlignment="1">
      <alignment vertical="center" shrinkToFit="1"/>
    </xf>
    <xf numFmtId="181" fontId="27" fillId="0" borderId="0" xfId="34" applyNumberFormat="1" applyFill="1" applyBorder="1" applyAlignment="1">
      <alignment horizontal="center" vertical="center" shrinkToFit="1"/>
    </xf>
    <xf numFmtId="6" fontId="27" fillId="0" borderId="0" xfId="0" applyNumberFormat="1" applyFont="1" applyAlignment="1">
      <alignment horizontal="right" vertical="center" shrinkToFit="1"/>
    </xf>
    <xf numFmtId="10" fontId="27" fillId="0" borderId="0" xfId="0" applyNumberFormat="1" applyFont="1">
      <alignment vertical="center"/>
    </xf>
    <xf numFmtId="6" fontId="27" fillId="0" borderId="0" xfId="0" applyNumberFormat="1" applyFont="1">
      <alignment vertical="center"/>
    </xf>
    <xf numFmtId="179" fontId="27" fillId="0" borderId="19" xfId="0" applyNumberFormat="1" applyFont="1" applyBorder="1" applyAlignment="1">
      <alignment vertical="center" shrinkToFit="1"/>
    </xf>
    <xf numFmtId="179" fontId="27" fillId="0" borderId="19" xfId="0" quotePrefix="1" applyNumberFormat="1" applyFont="1" applyBorder="1" applyAlignment="1">
      <alignment vertical="center" wrapText="1" shrinkToFit="1"/>
    </xf>
    <xf numFmtId="179" fontId="27" fillId="0" borderId="19" xfId="0" applyNumberFormat="1" applyFont="1" applyBorder="1" applyAlignment="1">
      <alignment vertical="center" wrapText="1" shrinkToFit="1"/>
    </xf>
    <xf numFmtId="182" fontId="30" fillId="26" borderId="19" xfId="0" applyNumberFormat="1" applyFont="1" applyFill="1" applyBorder="1" applyAlignment="1">
      <alignment vertical="center" shrinkToFit="1"/>
    </xf>
    <xf numFmtId="6" fontId="27" fillId="0" borderId="19" xfId="0" applyNumberFormat="1" applyFont="1" applyBorder="1" applyAlignment="1">
      <alignment horizontal="left" vertical="center" shrinkToFit="1"/>
    </xf>
    <xf numFmtId="179" fontId="32" fillId="0" borderId="19" xfId="0" applyNumberFormat="1" applyFont="1" applyBorder="1" applyAlignment="1">
      <alignment vertical="center" wrapText="1" shrinkToFit="1"/>
    </xf>
    <xf numFmtId="184" fontId="27" fillId="0" borderId="19" xfId="0" applyNumberFormat="1" applyFont="1" applyBorder="1">
      <alignment vertical="center"/>
    </xf>
    <xf numFmtId="10" fontId="8" fillId="0" borderId="19" xfId="28" applyNumberFormat="1" applyFont="1" applyBorder="1">
      <alignment vertical="center"/>
    </xf>
    <xf numFmtId="6" fontId="27" fillId="0" borderId="19" xfId="0" applyNumberFormat="1" applyFont="1" applyBorder="1">
      <alignment vertical="center"/>
    </xf>
    <xf numFmtId="179" fontId="27" fillId="0" borderId="38" xfId="0" applyNumberFormat="1" applyFont="1" applyBorder="1" applyAlignment="1">
      <alignment vertical="center" wrapText="1"/>
    </xf>
    <xf numFmtId="6" fontId="27" fillId="0" borderId="0" xfId="0" applyNumberFormat="1" applyFont="1" applyAlignment="1">
      <alignment horizontal="left" vertical="center" wrapText="1"/>
    </xf>
    <xf numFmtId="179" fontId="27" fillId="0" borderId="0" xfId="0" applyNumberFormat="1" applyFont="1" applyAlignment="1">
      <alignment vertical="center" wrapText="1"/>
    </xf>
    <xf numFmtId="6" fontId="26" fillId="0" borderId="0" xfId="0" applyNumberFormat="1" applyFont="1" applyAlignment="1">
      <alignment horizontal="left" vertical="center" wrapText="1"/>
    </xf>
    <xf numFmtId="6" fontId="27" fillId="0" borderId="0" xfId="0" applyNumberFormat="1" applyFont="1" applyAlignment="1">
      <alignment horizontal="left" vertical="center"/>
    </xf>
    <xf numFmtId="180" fontId="27" fillId="0" borderId="19" xfId="34" applyNumberFormat="1" applyFill="1" applyBorder="1" applyAlignment="1">
      <alignment horizontal="center" vertical="center" shrinkToFit="1"/>
    </xf>
    <xf numFmtId="185" fontId="27" fillId="0" borderId="0" xfId="0" applyNumberFormat="1" applyFont="1" applyAlignment="1">
      <alignment vertical="center" shrinkToFit="1"/>
    </xf>
    <xf numFmtId="6" fontId="27" fillId="0" borderId="19" xfId="0" applyNumberFormat="1" applyFont="1" applyBorder="1" applyAlignment="1">
      <alignment horizontal="right" vertical="center" shrinkToFit="1"/>
    </xf>
    <xf numFmtId="185" fontId="27" fillId="0" borderId="0" xfId="34" applyNumberFormat="1" applyFill="1" applyBorder="1" applyAlignment="1">
      <alignment horizontal="center" vertical="center" shrinkToFit="1"/>
    </xf>
    <xf numFmtId="183" fontId="27" fillId="0" borderId="19" xfId="0" applyNumberFormat="1" applyFont="1" applyBorder="1" applyAlignment="1">
      <alignment horizontal="right" vertical="center" shrinkToFit="1"/>
    </xf>
    <xf numFmtId="188" fontId="25" fillId="29" borderId="39" xfId="0" applyNumberFormat="1" applyFont="1" applyFill="1" applyBorder="1" applyAlignment="1">
      <alignment horizontal="center" vertical="center" wrapText="1" shrinkToFit="1"/>
    </xf>
    <xf numFmtId="188" fontId="25" fillId="29" borderId="40" xfId="0" applyNumberFormat="1" applyFont="1" applyFill="1" applyBorder="1" applyAlignment="1">
      <alignment horizontal="center" vertical="center" wrapText="1" shrinkToFit="1"/>
    </xf>
    <xf numFmtId="188" fontId="25" fillId="29" borderId="41" xfId="0" applyNumberFormat="1" applyFont="1" applyFill="1" applyBorder="1" applyAlignment="1">
      <alignment horizontal="center" vertical="center" wrapText="1" shrinkToFit="1"/>
    </xf>
    <xf numFmtId="190" fontId="27" fillId="29" borderId="42" xfId="0" applyNumberFormat="1" applyFont="1" applyFill="1" applyBorder="1" applyAlignment="1">
      <alignment horizontal="center" vertical="center" shrinkToFit="1"/>
    </xf>
    <xf numFmtId="189" fontId="27" fillId="29" borderId="43" xfId="34" applyNumberFormat="1" applyFill="1" applyBorder="1" applyAlignment="1">
      <alignment horizontal="right" vertical="center" shrinkToFit="1"/>
    </xf>
    <xf numFmtId="180" fontId="0" fillId="24" borderId="16" xfId="34" applyNumberFormat="1" applyFont="1" applyFill="1" applyBorder="1" applyAlignment="1">
      <alignment horizontal="center" vertical="center" shrinkToFit="1"/>
    </xf>
    <xf numFmtId="180" fontId="0" fillId="24" borderId="17" xfId="34" applyNumberFormat="1" applyFont="1" applyFill="1" applyBorder="1" applyAlignment="1">
      <alignment horizontal="center" vertical="center" shrinkToFit="1"/>
    </xf>
    <xf numFmtId="179" fontId="0" fillId="0" borderId="18" xfId="0" applyNumberFormat="1" applyBorder="1" applyAlignment="1">
      <alignment vertical="center" shrinkToFit="1"/>
    </xf>
    <xf numFmtId="0" fontId="0" fillId="0" borderId="21" xfId="0" applyBorder="1" applyAlignment="1">
      <alignment vertical="center" shrinkToFit="1"/>
    </xf>
    <xf numFmtId="5" fontId="0" fillId="0" borderId="22" xfId="0" applyNumberFormat="1" applyBorder="1" applyAlignment="1">
      <alignment vertical="center" shrinkToFit="1"/>
    </xf>
    <xf numFmtId="189" fontId="27" fillId="30" borderId="20" xfId="34" applyNumberFormat="1" applyFill="1" applyBorder="1" applyAlignment="1">
      <alignment horizontal="right" vertical="center" shrinkToFit="1"/>
    </xf>
    <xf numFmtId="5" fontId="0" fillId="0" borderId="23" xfId="0" applyNumberFormat="1" applyBorder="1" applyAlignment="1">
      <alignment vertical="center" shrinkToFit="1"/>
    </xf>
    <xf numFmtId="189" fontId="27" fillId="29" borderId="45" xfId="34" applyNumberFormat="1" applyFill="1" applyBorder="1" applyAlignment="1">
      <alignment horizontal="center" vertical="center" shrinkToFit="1"/>
    </xf>
    <xf numFmtId="176" fontId="27" fillId="29" borderId="43" xfId="34" applyNumberFormat="1" applyFill="1" applyBorder="1" applyAlignment="1">
      <alignment horizontal="center" vertical="center" shrinkToFit="1"/>
    </xf>
    <xf numFmtId="197" fontId="0" fillId="0" borderId="0" xfId="0" applyNumberFormat="1" applyAlignment="1">
      <alignment vertical="center" shrinkToFit="1"/>
    </xf>
    <xf numFmtId="0" fontId="25" fillId="0" borderId="0" xfId="0" applyFont="1" applyAlignment="1">
      <alignment vertical="center" wrapText="1" shrinkToFit="1"/>
    </xf>
    <xf numFmtId="0" fontId="0" fillId="0" borderId="55" xfId="0" applyBorder="1" applyAlignment="1">
      <alignment horizontal="left" vertical="center" shrinkToFit="1"/>
    </xf>
    <xf numFmtId="191" fontId="0" fillId="0" borderId="55" xfId="0" applyNumberFormat="1" applyBorder="1" applyAlignment="1">
      <alignment horizontal="right" vertical="center" shrinkToFit="1"/>
    </xf>
    <xf numFmtId="191" fontId="34" fillId="0" borderId="10" xfId="34" applyNumberFormat="1" applyFont="1" applyFill="1" applyBorder="1" applyAlignment="1" applyProtection="1">
      <alignment vertical="center" shrinkToFit="1"/>
    </xf>
    <xf numFmtId="180" fontId="0" fillId="24" borderId="28" xfId="34" applyNumberFormat="1" applyFont="1" applyFill="1" applyBorder="1" applyAlignment="1">
      <alignment horizontal="center" vertical="center" shrinkToFit="1"/>
    </xf>
    <xf numFmtId="187" fontId="0" fillId="0" borderId="54" xfId="0" applyNumberFormat="1" applyBorder="1" applyAlignment="1">
      <alignment vertical="center" shrinkToFit="1"/>
    </xf>
    <xf numFmtId="187" fontId="0" fillId="0" borderId="20" xfId="0" applyNumberFormat="1" applyBorder="1" applyAlignment="1">
      <alignment vertical="center" shrinkToFit="1"/>
    </xf>
    <xf numFmtId="0" fontId="0" fillId="0" borderId="18" xfId="0" applyBorder="1" applyAlignment="1">
      <alignment vertical="center" shrinkToFit="1"/>
    </xf>
    <xf numFmtId="189" fontId="27" fillId="0" borderId="54" xfId="34" applyNumberFormat="1" applyFill="1" applyBorder="1" applyAlignment="1">
      <alignment horizontal="right" vertical="center" shrinkToFit="1"/>
    </xf>
    <xf numFmtId="189" fontId="27" fillId="30" borderId="54" xfId="34" applyNumberFormat="1" applyFill="1" applyBorder="1" applyAlignment="1">
      <alignment horizontal="right" vertical="center" shrinkToFit="1"/>
    </xf>
    <xf numFmtId="187" fontId="0" fillId="38" borderId="20" xfId="0" applyNumberFormat="1" applyFill="1" applyBorder="1" applyAlignment="1">
      <alignment vertical="center" shrinkToFit="1"/>
    </xf>
    <xf numFmtId="189" fontId="27" fillId="38" borderId="20" xfId="34" applyNumberFormat="1" applyFill="1" applyBorder="1" applyAlignment="1">
      <alignment horizontal="right" vertical="center" shrinkToFit="1"/>
    </xf>
    <xf numFmtId="5" fontId="0" fillId="38" borderId="23" xfId="0" applyNumberFormat="1" applyFill="1" applyBorder="1" applyAlignment="1">
      <alignment vertical="center" shrinkToFit="1"/>
    </xf>
    <xf numFmtId="189" fontId="27" fillId="0" borderId="20" xfId="34" applyNumberFormat="1" applyFill="1" applyBorder="1" applyAlignment="1">
      <alignment horizontal="right" vertical="center" shrinkToFit="1"/>
    </xf>
    <xf numFmtId="180" fontId="25" fillId="24" borderId="16" xfId="34" applyNumberFormat="1" applyFont="1" applyFill="1" applyBorder="1" applyAlignment="1">
      <alignment horizontal="center" vertical="center" shrinkToFit="1"/>
    </xf>
    <xf numFmtId="5" fontId="25" fillId="38" borderId="28" xfId="0" applyNumberFormat="1" applyFont="1" applyFill="1" applyBorder="1" applyAlignment="1">
      <alignment horizontal="center" vertical="center"/>
    </xf>
    <xf numFmtId="0" fontId="0" fillId="0" borderId="55" xfId="0" applyBorder="1" applyAlignment="1">
      <alignment vertical="center" shrinkToFit="1"/>
    </xf>
    <xf numFmtId="0" fontId="0" fillId="0" borderId="54" xfId="0" applyBorder="1" applyAlignment="1">
      <alignment vertical="center" shrinkToFit="1"/>
    </xf>
    <xf numFmtId="191" fontId="26" fillId="33" borderId="56" xfId="34" applyNumberFormat="1" applyFont="1" applyFill="1" applyBorder="1" applyAlignment="1" applyProtection="1">
      <alignment vertical="center" shrinkToFit="1"/>
    </xf>
    <xf numFmtId="191" fontId="26" fillId="33" borderId="54" xfId="34" applyNumberFormat="1" applyFont="1" applyFill="1" applyBorder="1" applyAlignment="1" applyProtection="1">
      <alignment vertical="center" shrinkToFit="1"/>
    </xf>
    <xf numFmtId="191" fontId="0" fillId="0" borderId="54" xfId="0" applyNumberFormat="1" applyBorder="1" applyAlignment="1">
      <alignment vertical="center" shrinkToFit="1"/>
    </xf>
    <xf numFmtId="201" fontId="30" fillId="26" borderId="19" xfId="0" applyNumberFormat="1" applyFont="1" applyFill="1" applyBorder="1" applyAlignment="1">
      <alignment vertical="center" shrinkToFit="1"/>
    </xf>
    <xf numFmtId="191" fontId="26" fillId="0" borderId="54" xfId="0" applyNumberFormat="1" applyFont="1" applyBorder="1" applyAlignment="1">
      <alignment vertical="center" shrinkToFit="1"/>
    </xf>
    <xf numFmtId="0" fontId="0" fillId="41" borderId="54" xfId="0" applyFill="1" applyBorder="1">
      <alignment vertical="center"/>
    </xf>
    <xf numFmtId="10" fontId="0" fillId="41" borderId="54" xfId="0" applyNumberFormat="1" applyFill="1" applyBorder="1">
      <alignment vertical="center"/>
    </xf>
    <xf numFmtId="177" fontId="33" fillId="0" borderId="54" xfId="0" applyNumberFormat="1" applyFont="1" applyBorder="1" applyAlignment="1">
      <alignment horizontal="center" vertical="center" shrinkToFit="1"/>
    </xf>
    <xf numFmtId="0" fontId="0" fillId="33" borderId="15" xfId="0" applyFill="1" applyBorder="1" applyAlignment="1">
      <alignment horizontal="center" vertical="center"/>
    </xf>
    <xf numFmtId="0" fontId="36" fillId="0" borderId="0" xfId="0" applyFont="1" applyAlignment="1">
      <alignment vertical="center" shrinkToFit="1"/>
    </xf>
    <xf numFmtId="177" fontId="36" fillId="38" borderId="10" xfId="0" applyNumberFormat="1" applyFont="1" applyFill="1" applyBorder="1" applyAlignment="1">
      <alignment vertical="center" shrinkToFit="1"/>
    </xf>
    <xf numFmtId="178" fontId="36" fillId="0" borderId="10" xfId="34" applyNumberFormat="1" applyFont="1" applyFill="1" applyBorder="1" applyAlignment="1" applyProtection="1">
      <alignment vertical="center" shrinkToFit="1"/>
    </xf>
    <xf numFmtId="38" fontId="36" fillId="0" borderId="10" xfId="34" applyFont="1" applyFill="1" applyBorder="1" applyAlignment="1" applyProtection="1">
      <alignment vertical="center" shrinkToFit="1"/>
    </xf>
    <xf numFmtId="191" fontId="36" fillId="4" borderId="10" xfId="34" applyNumberFormat="1" applyFont="1" applyFill="1" applyBorder="1" applyAlignment="1" applyProtection="1">
      <alignment vertical="center" shrinkToFit="1"/>
    </xf>
    <xf numFmtId="191" fontId="36" fillId="0" borderId="10" xfId="34" applyNumberFormat="1" applyFont="1" applyFill="1" applyBorder="1" applyAlignment="1" applyProtection="1">
      <alignment vertical="center" shrinkToFit="1"/>
    </xf>
    <xf numFmtId="191" fontId="36" fillId="3" borderId="10" xfId="34" applyNumberFormat="1" applyFont="1" applyFill="1" applyBorder="1" applyAlignment="1" applyProtection="1">
      <alignment vertical="center" shrinkToFit="1"/>
    </xf>
    <xf numFmtId="191" fontId="36" fillId="0" borderId="52" xfId="34" applyNumberFormat="1" applyFont="1" applyFill="1" applyBorder="1" applyAlignment="1" applyProtection="1">
      <alignment vertical="center" shrinkToFit="1"/>
    </xf>
    <xf numFmtId="191" fontId="36" fillId="34" borderId="10" xfId="34" applyNumberFormat="1" applyFont="1" applyFill="1" applyBorder="1" applyAlignment="1" applyProtection="1">
      <alignment vertical="center" shrinkToFit="1"/>
    </xf>
    <xf numFmtId="191" fontId="36" fillId="34" borderId="13" xfId="34" applyNumberFormat="1" applyFont="1" applyFill="1" applyBorder="1" applyAlignment="1" applyProtection="1">
      <alignment vertical="center" shrinkToFit="1"/>
    </xf>
    <xf numFmtId="191" fontId="36" fillId="0" borderId="19" xfId="0" applyNumberFormat="1" applyFont="1" applyBorder="1" applyAlignment="1">
      <alignment vertical="center" shrinkToFit="1"/>
    </xf>
    <xf numFmtId="191" fontId="36" fillId="0" borderId="0" xfId="0" applyNumberFormat="1" applyFont="1">
      <alignment vertical="center"/>
    </xf>
    <xf numFmtId="191" fontId="36" fillId="33" borderId="10" xfId="34" applyNumberFormat="1" applyFont="1" applyFill="1" applyBorder="1" applyAlignment="1" applyProtection="1">
      <alignment vertical="center" shrinkToFit="1"/>
    </xf>
    <xf numFmtId="191" fontId="36" fillId="0" borderId="52" xfId="0" applyNumberFormat="1" applyFont="1" applyBorder="1" applyAlignment="1">
      <alignment vertical="center" shrinkToFit="1"/>
    </xf>
    <xf numFmtId="0" fontId="36" fillId="0" borderId="52" xfId="0" applyFont="1" applyBorder="1" applyAlignment="1">
      <alignment vertical="center" shrinkToFit="1"/>
    </xf>
    <xf numFmtId="10" fontId="27" fillId="41" borderId="54" xfId="28" applyNumberFormat="1" applyFill="1" applyBorder="1">
      <alignment vertical="center"/>
    </xf>
    <xf numFmtId="201" fontId="33" fillId="42" borderId="54" xfId="0" applyNumberFormat="1" applyFont="1" applyFill="1" applyBorder="1" applyAlignment="1">
      <alignment horizontal="center" vertical="center" shrinkToFit="1"/>
    </xf>
    <xf numFmtId="10" fontId="38" fillId="41" borderId="10" xfId="34" applyNumberFormat="1" applyFont="1" applyFill="1" applyBorder="1" applyAlignment="1" applyProtection="1">
      <alignment vertical="center" shrinkToFit="1"/>
    </xf>
    <xf numFmtId="202" fontId="33" fillId="38" borderId="61" xfId="0" applyNumberFormat="1" applyFont="1" applyFill="1" applyBorder="1" applyAlignment="1">
      <alignment horizontal="center" vertical="center" shrinkToFit="1"/>
    </xf>
    <xf numFmtId="0" fontId="38" fillId="38" borderId="10" xfId="0" applyFont="1" applyFill="1" applyBorder="1" applyAlignment="1">
      <alignment horizontal="center" vertical="center" shrinkToFit="1"/>
    </xf>
    <xf numFmtId="177" fontId="38" fillId="38" borderId="10" xfId="0" applyNumberFormat="1" applyFont="1" applyFill="1" applyBorder="1" applyAlignment="1">
      <alignment horizontal="center" vertical="center" shrinkToFit="1"/>
    </xf>
    <xf numFmtId="191" fontId="38" fillId="38" borderId="10" xfId="0" applyNumberFormat="1" applyFont="1" applyFill="1" applyBorder="1" applyAlignment="1">
      <alignment horizontal="center" vertical="center" shrinkToFit="1"/>
    </xf>
    <xf numFmtId="182" fontId="30" fillId="26" borderId="16" xfId="0" applyNumberFormat="1" applyFont="1" applyFill="1" applyBorder="1" applyAlignment="1">
      <alignment vertical="center" shrinkToFit="1"/>
    </xf>
    <xf numFmtId="179" fontId="27" fillId="0" borderId="54" xfId="0" applyNumberFormat="1" applyFont="1" applyBorder="1" applyAlignment="1">
      <alignment vertical="center" wrapText="1" shrinkToFit="1"/>
    </xf>
    <xf numFmtId="179" fontId="27" fillId="0" borderId="54" xfId="0" applyNumberFormat="1" applyFont="1" applyBorder="1" applyAlignment="1">
      <alignment horizontal="center" vertical="center" shrinkToFit="1"/>
    </xf>
    <xf numFmtId="179" fontId="27" fillId="0" borderId="20" xfId="0" applyNumberFormat="1" applyFont="1" applyBorder="1" applyAlignment="1">
      <alignment horizontal="center" vertical="center" wrapText="1" shrinkToFit="1"/>
    </xf>
    <xf numFmtId="180" fontId="0" fillId="24" borderId="63" xfId="34" applyNumberFormat="1" applyFont="1" applyFill="1" applyBorder="1" applyAlignment="1">
      <alignment horizontal="center" vertical="center" shrinkToFit="1"/>
    </xf>
    <xf numFmtId="180" fontId="0" fillId="24" borderId="53" xfId="34" applyNumberFormat="1" applyFont="1" applyFill="1" applyBorder="1" applyAlignment="1">
      <alignment horizontal="center" vertical="center" shrinkToFit="1"/>
    </xf>
    <xf numFmtId="180" fontId="0" fillId="24" borderId="64" xfId="34" applyNumberFormat="1" applyFont="1" applyFill="1" applyBorder="1" applyAlignment="1">
      <alignment horizontal="center" vertical="center" shrinkToFit="1"/>
    </xf>
    <xf numFmtId="180" fontId="0" fillId="24" borderId="65" xfId="34" applyNumberFormat="1" applyFont="1" applyFill="1" applyBorder="1" applyAlignment="1">
      <alignment horizontal="center" vertical="center" shrinkToFit="1"/>
    </xf>
    <xf numFmtId="5" fontId="0" fillId="0" borderId="66" xfId="0" applyNumberFormat="1" applyBorder="1" applyAlignment="1">
      <alignment vertical="center" shrinkToFit="1"/>
    </xf>
    <xf numFmtId="0" fontId="0" fillId="0" borderId="67" xfId="0" applyBorder="1">
      <alignment vertical="center"/>
    </xf>
    <xf numFmtId="0" fontId="0" fillId="0" borderId="69" xfId="0" applyBorder="1">
      <alignment vertical="center"/>
    </xf>
    <xf numFmtId="0" fontId="0" fillId="0" borderId="70" xfId="0" applyBorder="1">
      <alignment vertical="center"/>
    </xf>
    <xf numFmtId="5" fontId="0" fillId="0" borderId="71" xfId="0" applyNumberFormat="1" applyBorder="1" applyAlignment="1">
      <alignment vertical="center" shrinkToFit="1"/>
    </xf>
    <xf numFmtId="0" fontId="0" fillId="0" borderId="72" xfId="0" applyBorder="1" applyAlignment="1">
      <alignment vertical="center" shrinkToFit="1"/>
    </xf>
    <xf numFmtId="5" fontId="0" fillId="0" borderId="68" xfId="0" applyNumberFormat="1" applyBorder="1" applyAlignment="1">
      <alignment vertical="center" shrinkToFit="1"/>
    </xf>
    <xf numFmtId="0" fontId="0" fillId="0" borderId="73" xfId="0" applyBorder="1" applyAlignment="1">
      <alignment vertical="center" shrinkToFit="1"/>
    </xf>
    <xf numFmtId="5" fontId="0" fillId="0" borderId="74" xfId="0" applyNumberFormat="1" applyBorder="1" applyAlignment="1">
      <alignment vertical="center" shrinkToFit="1"/>
    </xf>
    <xf numFmtId="180" fontId="0" fillId="24" borderId="75" xfId="34" applyNumberFormat="1" applyFont="1" applyFill="1" applyBorder="1" applyAlignment="1">
      <alignment horizontal="center" vertical="center" shrinkToFit="1"/>
    </xf>
    <xf numFmtId="180" fontId="0" fillId="24" borderId="76" xfId="34" applyNumberFormat="1" applyFont="1" applyFill="1" applyBorder="1" applyAlignment="1">
      <alignment horizontal="center" vertical="center" shrinkToFit="1"/>
    </xf>
    <xf numFmtId="0" fontId="29" fillId="0" borderId="77" xfId="0" applyFont="1" applyBorder="1">
      <alignment vertical="center"/>
    </xf>
    <xf numFmtId="182" fontId="30" fillId="46" borderId="78" xfId="0" applyNumberFormat="1" applyFont="1" applyFill="1" applyBorder="1" applyAlignment="1">
      <alignment vertical="center" shrinkToFit="1"/>
    </xf>
    <xf numFmtId="179" fontId="27" fillId="0" borderId="81" xfId="0" applyNumberFormat="1" applyFont="1" applyBorder="1">
      <alignment vertical="center"/>
    </xf>
    <xf numFmtId="191" fontId="26" fillId="43" borderId="52" xfId="34" applyNumberFormat="1" applyFont="1" applyFill="1" applyBorder="1" applyAlignment="1" applyProtection="1">
      <alignment vertical="center" shrinkToFit="1"/>
    </xf>
    <xf numFmtId="191" fontId="26" fillId="43" borderId="84" xfId="34" applyNumberFormat="1" applyFont="1" applyFill="1" applyBorder="1" applyAlignment="1" applyProtection="1">
      <alignment vertical="center" shrinkToFit="1"/>
    </xf>
    <xf numFmtId="0" fontId="0" fillId="43" borderId="83" xfId="0" applyFill="1" applyBorder="1" applyAlignment="1">
      <alignment vertical="center" shrinkToFit="1"/>
    </xf>
    <xf numFmtId="0" fontId="0" fillId="43" borderId="85" xfId="0" applyFill="1" applyBorder="1" applyAlignment="1">
      <alignment vertical="center" shrinkToFit="1"/>
    </xf>
    <xf numFmtId="191" fontId="26" fillId="3" borderId="52" xfId="34" applyNumberFormat="1" applyFont="1" applyFill="1" applyBorder="1" applyAlignment="1" applyProtection="1">
      <alignment vertical="center" shrinkToFit="1"/>
    </xf>
    <xf numFmtId="191" fontId="26" fillId="3" borderId="84" xfId="34" applyNumberFormat="1" applyFont="1" applyFill="1" applyBorder="1" applyAlignment="1" applyProtection="1">
      <alignment vertical="center" shrinkToFit="1"/>
    </xf>
    <xf numFmtId="0" fontId="0" fillId="3" borderId="83" xfId="0" applyFill="1" applyBorder="1" applyAlignment="1">
      <alignment vertical="center" shrinkToFit="1"/>
    </xf>
    <xf numFmtId="191" fontId="0" fillId="0" borderId="55" xfId="0" applyNumberFormat="1" applyBorder="1" applyAlignment="1">
      <alignment horizontal="left" vertical="center" shrinkToFit="1"/>
    </xf>
    <xf numFmtId="191" fontId="26" fillId="33" borderId="52" xfId="34" applyNumberFormat="1" applyFont="1" applyFill="1" applyBorder="1" applyAlignment="1" applyProtection="1">
      <alignment vertical="center" shrinkToFit="1"/>
    </xf>
    <xf numFmtId="191" fontId="26" fillId="0" borderId="88" xfId="0" applyNumberFormat="1" applyFont="1" applyBorder="1" applyAlignment="1">
      <alignment vertical="center" shrinkToFit="1"/>
    </xf>
    <xf numFmtId="191" fontId="30" fillId="0" borderId="10" xfId="34" applyNumberFormat="1" applyFont="1" applyFill="1" applyBorder="1" applyAlignment="1" applyProtection="1">
      <alignment vertical="center" shrinkToFit="1"/>
    </xf>
    <xf numFmtId="179" fontId="0" fillId="0" borderId="54" xfId="0" applyNumberFormat="1" applyBorder="1" applyAlignment="1">
      <alignment horizontal="center" vertical="center" wrapText="1" shrinkToFit="1"/>
    </xf>
    <xf numFmtId="179" fontId="27" fillId="0" borderId="97" xfId="0" applyNumberFormat="1" applyFont="1" applyBorder="1" applyAlignment="1">
      <alignment horizontal="center" vertical="center" shrinkToFit="1"/>
    </xf>
    <xf numFmtId="179" fontId="27" fillId="0" borderId="100" xfId="0" applyNumberFormat="1" applyFont="1" applyBorder="1" applyAlignment="1">
      <alignment horizontal="center" vertical="center" shrinkToFit="1"/>
    </xf>
    <xf numFmtId="6" fontId="27" fillId="0" borderId="98" xfId="0" applyNumberFormat="1" applyFont="1" applyBorder="1" applyAlignment="1">
      <alignment vertical="center" shrinkToFit="1"/>
    </xf>
    <xf numFmtId="179" fontId="27" fillId="0" borderId="103" xfId="0" applyNumberFormat="1" applyFont="1" applyBorder="1" applyAlignment="1">
      <alignment horizontal="center" vertical="center" shrinkToFit="1"/>
    </xf>
    <xf numFmtId="3" fontId="27" fillId="0" borderId="104" xfId="0" applyNumberFormat="1" applyFont="1" applyBorder="1" applyAlignment="1">
      <alignment vertical="center" shrinkToFit="1"/>
    </xf>
    <xf numFmtId="179" fontId="27" fillId="0" borderId="98" xfId="0" applyNumberFormat="1" applyFont="1" applyBorder="1" applyAlignment="1">
      <alignment vertical="center" shrinkToFit="1"/>
    </xf>
    <xf numFmtId="179" fontId="27" fillId="0" borderId="109" xfId="0" applyNumberFormat="1" applyFont="1" applyBorder="1" applyAlignment="1">
      <alignment horizontal="center" vertical="center" shrinkToFit="1"/>
    </xf>
    <xf numFmtId="179" fontId="27" fillId="0" borderId="110" xfId="0" applyNumberFormat="1" applyFont="1" applyBorder="1" applyAlignment="1">
      <alignment horizontal="center" vertical="center" shrinkToFit="1"/>
    </xf>
    <xf numFmtId="179" fontId="27" fillId="0" borderId="111" xfId="0" applyNumberFormat="1" applyFont="1" applyBorder="1" applyAlignment="1">
      <alignment horizontal="center" vertical="center" shrinkToFit="1"/>
    </xf>
    <xf numFmtId="6" fontId="27" fillId="0" borderId="112" xfId="0" applyNumberFormat="1" applyFont="1" applyBorder="1" applyAlignment="1">
      <alignment vertical="center" shrinkToFit="1"/>
    </xf>
    <xf numFmtId="6" fontId="27" fillId="0" borderId="113" xfId="0" applyNumberFormat="1" applyFont="1" applyBorder="1" applyAlignment="1">
      <alignment vertical="center" shrinkToFit="1"/>
    </xf>
    <xf numFmtId="6" fontId="27" fillId="0" borderId="114" xfId="0" applyNumberFormat="1" applyFont="1" applyBorder="1" applyAlignment="1">
      <alignment vertical="center" shrinkToFit="1"/>
    </xf>
    <xf numFmtId="3" fontId="27" fillId="0" borderId="119" xfId="0" applyNumberFormat="1" applyFont="1" applyBorder="1" applyAlignment="1">
      <alignment vertical="center" shrinkToFit="1"/>
    </xf>
    <xf numFmtId="6" fontId="27" fillId="0" borderId="120" xfId="0" applyNumberFormat="1" applyFont="1" applyBorder="1" applyAlignment="1">
      <alignment vertical="center" shrinkToFit="1"/>
    </xf>
    <xf numFmtId="6" fontId="27" fillId="0" borderId="121" xfId="0" applyNumberFormat="1" applyFont="1" applyBorder="1" applyAlignment="1">
      <alignment vertical="center" shrinkToFit="1"/>
    </xf>
    <xf numFmtId="6" fontId="27" fillId="0" borderId="122" xfId="0" applyNumberFormat="1" applyFont="1" applyBorder="1" applyAlignment="1">
      <alignment vertical="center" shrinkToFit="1"/>
    </xf>
    <xf numFmtId="6" fontId="27" fillId="0" borderId="123" xfId="0" applyNumberFormat="1" applyFont="1" applyBorder="1" applyAlignment="1">
      <alignment vertical="center" shrinkToFit="1"/>
    </xf>
    <xf numFmtId="6" fontId="27" fillId="0" borderId="124" xfId="0" applyNumberFormat="1" applyFont="1" applyBorder="1" applyAlignment="1">
      <alignment vertical="center" shrinkToFit="1"/>
    </xf>
    <xf numFmtId="6" fontId="27" fillId="0" borderId="125" xfId="0" applyNumberFormat="1" applyFont="1" applyBorder="1" applyAlignment="1">
      <alignment vertical="center" shrinkToFit="1"/>
    </xf>
    <xf numFmtId="3" fontId="27" fillId="0" borderId="127" xfId="0" applyNumberFormat="1" applyFont="1" applyBorder="1" applyAlignment="1">
      <alignment vertical="center" shrinkToFit="1"/>
    </xf>
    <xf numFmtId="6" fontId="27" fillId="0" borderId="128" xfId="0" applyNumberFormat="1" applyFont="1" applyBorder="1" applyAlignment="1">
      <alignment vertical="center" shrinkToFit="1"/>
    </xf>
    <xf numFmtId="6" fontId="27" fillId="0" borderId="129" xfId="0" applyNumberFormat="1" applyFont="1" applyBorder="1" applyAlignment="1">
      <alignment vertical="center" shrinkToFit="1"/>
    </xf>
    <xf numFmtId="6" fontId="27" fillId="0" borderId="130" xfId="0" applyNumberFormat="1" applyFont="1" applyBorder="1" applyAlignment="1">
      <alignment vertical="center" shrinkToFit="1"/>
    </xf>
    <xf numFmtId="6" fontId="27" fillId="0" borderId="131" xfId="0" applyNumberFormat="1" applyFont="1" applyBorder="1" applyAlignment="1">
      <alignment vertical="center" shrinkToFit="1"/>
    </xf>
    <xf numFmtId="179" fontId="27" fillId="0" borderId="132" xfId="0" applyNumberFormat="1" applyFont="1" applyBorder="1" applyAlignment="1">
      <alignment vertical="center" shrinkToFit="1"/>
    </xf>
    <xf numFmtId="179" fontId="27" fillId="0" borderId="133" xfId="0" applyNumberFormat="1" applyFont="1" applyBorder="1" applyAlignment="1">
      <alignment vertical="center" shrinkToFit="1"/>
    </xf>
    <xf numFmtId="179" fontId="29" fillId="0" borderId="134" xfId="0" applyNumberFormat="1" applyFont="1" applyBorder="1" applyAlignment="1">
      <alignment horizontal="right" vertical="center" shrinkToFit="1"/>
    </xf>
    <xf numFmtId="179" fontId="27" fillId="0" borderId="135" xfId="0" applyNumberFormat="1" applyFont="1" applyBorder="1" applyAlignment="1">
      <alignment vertical="center" shrinkToFit="1"/>
    </xf>
    <xf numFmtId="179" fontId="27" fillId="0" borderId="136" xfId="0" applyNumberFormat="1" applyFont="1" applyBorder="1" applyAlignment="1">
      <alignment vertical="center" shrinkToFit="1"/>
    </xf>
    <xf numFmtId="179" fontId="27" fillId="0" borderId="80" xfId="0" applyNumberFormat="1" applyFont="1" applyBorder="1" applyAlignment="1">
      <alignment vertical="center" shrinkToFit="1"/>
    </xf>
    <xf numFmtId="179" fontId="27" fillId="0" borderId="137" xfId="0" applyNumberFormat="1" applyFont="1" applyBorder="1" applyAlignment="1">
      <alignment vertical="center" shrinkToFit="1"/>
    </xf>
    <xf numFmtId="5" fontId="27" fillId="0" borderId="138" xfId="34" applyNumberFormat="1" applyBorder="1" applyAlignment="1">
      <alignment vertical="center" shrinkToFit="1"/>
    </xf>
    <xf numFmtId="5" fontId="27" fillId="0" borderId="139" xfId="34" applyNumberFormat="1" applyBorder="1" applyAlignment="1">
      <alignment vertical="center" shrinkToFit="1"/>
    </xf>
    <xf numFmtId="5" fontId="27" fillId="0" borderId="140" xfId="34" applyNumberFormat="1" applyBorder="1" applyAlignment="1">
      <alignment vertical="center" shrinkToFit="1"/>
    </xf>
    <xf numFmtId="3" fontId="27" fillId="0" borderId="105" xfId="0" applyNumberFormat="1" applyFont="1" applyBorder="1" applyAlignment="1">
      <alignment vertical="center" shrinkToFit="1"/>
    </xf>
    <xf numFmtId="6" fontId="27" fillId="0" borderId="115" xfId="0" applyNumberFormat="1" applyFont="1" applyBorder="1" applyAlignment="1">
      <alignment vertical="center" shrinkToFit="1"/>
    </xf>
    <xf numFmtId="6" fontId="27" fillId="0" borderId="116" xfId="0" applyNumberFormat="1" applyFont="1" applyBorder="1" applyAlignment="1">
      <alignment vertical="center" shrinkToFit="1"/>
    </xf>
    <xf numFmtId="6" fontId="27" fillId="0" borderId="117" xfId="0" applyNumberFormat="1" applyFont="1" applyBorder="1" applyAlignment="1">
      <alignment vertical="center" shrinkToFit="1"/>
    </xf>
    <xf numFmtId="6" fontId="27" fillId="0" borderId="99" xfId="0" applyNumberFormat="1" applyFont="1" applyBorder="1" applyAlignment="1">
      <alignment vertical="center" shrinkToFit="1"/>
    </xf>
    <xf numFmtId="6" fontId="27" fillId="0" borderId="36" xfId="0" applyNumberFormat="1" applyFont="1" applyBorder="1" applyAlignment="1">
      <alignment vertical="center" shrinkToFit="1"/>
    </xf>
    <xf numFmtId="6" fontId="27" fillId="0" borderId="37" xfId="0" applyNumberFormat="1" applyFont="1" applyBorder="1" applyAlignment="1">
      <alignment vertical="center" shrinkToFit="1"/>
    </xf>
    <xf numFmtId="0" fontId="36" fillId="0" borderId="51" xfId="0" applyFont="1" applyBorder="1" applyAlignment="1">
      <alignment vertical="center" shrinkToFit="1"/>
    </xf>
    <xf numFmtId="10" fontId="27" fillId="0" borderId="51" xfId="28" applyNumberFormat="1" applyBorder="1">
      <alignment vertical="center"/>
    </xf>
    <xf numFmtId="38" fontId="27" fillId="0" borderId="51" xfId="34" applyBorder="1">
      <alignment vertical="center"/>
    </xf>
    <xf numFmtId="0" fontId="36" fillId="0" borderId="51" xfId="0" applyFont="1" applyBorder="1" applyAlignment="1">
      <alignment vertical="center" wrapText="1" shrinkToFit="1"/>
    </xf>
    <xf numFmtId="0" fontId="25" fillId="0" borderId="51" xfId="0" applyFont="1" applyBorder="1" applyAlignment="1">
      <alignment vertical="center" wrapText="1" shrinkToFit="1"/>
    </xf>
    <xf numFmtId="6" fontId="27" fillId="0" borderId="0" xfId="34" applyNumberFormat="1" applyFill="1" applyBorder="1" applyProtection="1">
      <alignment vertical="center"/>
    </xf>
    <xf numFmtId="199" fontId="0" fillId="0" borderId="0" xfId="0" applyNumberFormat="1" applyAlignment="1">
      <alignment vertical="center" shrinkToFit="1"/>
    </xf>
    <xf numFmtId="200" fontId="29" fillId="38" borderId="54" xfId="0" applyNumberFormat="1" applyFont="1" applyFill="1" applyBorder="1" applyAlignment="1">
      <alignment horizontal="center" vertical="center" shrinkToFit="1"/>
    </xf>
    <xf numFmtId="0" fontId="29" fillId="38" borderId="54" xfId="0" applyFont="1" applyFill="1" applyBorder="1" applyAlignment="1">
      <alignment horizontal="center" vertical="center" shrinkToFit="1"/>
    </xf>
    <xf numFmtId="10" fontId="29" fillId="0" borderId="54" xfId="0" applyNumberFormat="1" applyFont="1" applyBorder="1" applyAlignment="1">
      <alignment horizontal="center" vertical="center"/>
    </xf>
    <xf numFmtId="0" fontId="29" fillId="39" borderId="15" xfId="0" applyFont="1" applyFill="1" applyBorder="1" applyAlignment="1">
      <alignment horizontal="center" vertical="center" shrinkToFit="1"/>
    </xf>
    <xf numFmtId="9" fontId="29" fillId="39" borderId="15" xfId="0" applyNumberFormat="1" applyFont="1" applyFill="1" applyBorder="1" applyAlignment="1">
      <alignment horizontal="center" vertical="center" shrinkToFit="1"/>
    </xf>
    <xf numFmtId="0" fontId="29" fillId="39" borderId="52" xfId="0" applyFont="1" applyFill="1" applyBorder="1" applyAlignment="1">
      <alignment horizontal="center" vertical="center" shrinkToFit="1"/>
    </xf>
    <xf numFmtId="0" fontId="29" fillId="37" borderId="53" xfId="0" applyFont="1" applyFill="1" applyBorder="1" applyAlignment="1">
      <alignment horizontal="center" vertical="center" shrinkToFit="1"/>
    </xf>
    <xf numFmtId="0" fontId="29" fillId="37" borderId="19" xfId="0" applyFont="1" applyFill="1" applyBorder="1" applyAlignment="1">
      <alignment horizontal="center" vertical="center" shrinkToFit="1"/>
    </xf>
    <xf numFmtId="10" fontId="29" fillId="31" borderId="19" xfId="0" applyNumberFormat="1" applyFont="1" applyFill="1" applyBorder="1" applyAlignment="1">
      <alignment horizontal="center" vertical="center" shrinkToFit="1"/>
    </xf>
    <xf numFmtId="10" fontId="38" fillId="31" borderId="19" xfId="0" applyNumberFormat="1" applyFont="1" applyFill="1" applyBorder="1" applyAlignment="1">
      <alignment horizontal="center" vertical="center" shrinkToFit="1"/>
    </xf>
    <xf numFmtId="0" fontId="29" fillId="36" borderId="19" xfId="0" applyFont="1" applyFill="1" applyBorder="1" applyAlignment="1">
      <alignment horizontal="center" vertical="center" shrinkToFit="1"/>
    </xf>
    <xf numFmtId="193" fontId="38" fillId="32" borderId="19" xfId="0" applyNumberFormat="1" applyFont="1" applyFill="1" applyBorder="1" applyAlignment="1">
      <alignment horizontal="center" vertical="center" shrinkToFit="1"/>
    </xf>
    <xf numFmtId="9" fontId="29" fillId="39" borderId="54" xfId="0" applyNumberFormat="1" applyFont="1" applyFill="1" applyBorder="1" applyAlignment="1">
      <alignment horizontal="center" vertical="center" shrinkToFit="1"/>
    </xf>
    <xf numFmtId="0" fontId="29" fillId="39" borderId="54" xfId="0" applyFont="1" applyFill="1" applyBorder="1" applyAlignment="1">
      <alignment horizontal="center" vertical="center" shrinkToFit="1"/>
    </xf>
    <xf numFmtId="0" fontId="29" fillId="37" borderId="54" xfId="0" applyFont="1" applyFill="1" applyBorder="1" applyAlignment="1">
      <alignment horizontal="center" vertical="center" shrinkToFit="1"/>
    </xf>
    <xf numFmtId="193" fontId="29" fillId="0" borderId="54" xfId="0" applyNumberFormat="1" applyFont="1" applyBorder="1" applyAlignment="1">
      <alignment vertical="center" shrinkToFit="1"/>
    </xf>
    <xf numFmtId="10" fontId="29" fillId="31" borderId="54" xfId="0" applyNumberFormat="1" applyFont="1" applyFill="1" applyBorder="1" applyAlignment="1">
      <alignment horizontal="center" vertical="center" shrinkToFit="1"/>
    </xf>
    <xf numFmtId="0" fontId="29" fillId="36" borderId="54" xfId="0" applyFont="1" applyFill="1" applyBorder="1" applyAlignment="1">
      <alignment horizontal="center" vertical="center" shrinkToFit="1"/>
    </xf>
    <xf numFmtId="193" fontId="45" fillId="32" borderId="54" xfId="0" applyNumberFormat="1" applyFont="1" applyFill="1" applyBorder="1" applyAlignment="1">
      <alignment horizontal="center" vertical="center" shrinkToFit="1"/>
    </xf>
    <xf numFmtId="0" fontId="0" fillId="0" borderId="0" xfId="0" applyAlignment="1">
      <alignment vertical="center" wrapText="1"/>
    </xf>
    <xf numFmtId="0" fontId="43" fillId="0" borderId="0" xfId="53">
      <alignment vertical="center"/>
    </xf>
    <xf numFmtId="0" fontId="0" fillId="0" borderId="152" xfId="0" applyBorder="1">
      <alignment vertical="center"/>
    </xf>
    <xf numFmtId="0" fontId="25" fillId="0" borderId="153" xfId="0" applyFont="1" applyBorder="1">
      <alignment vertical="center"/>
    </xf>
    <xf numFmtId="38" fontId="0" fillId="0" borderId="152" xfId="34" applyFont="1" applyFill="1" applyBorder="1" applyAlignment="1" applyProtection="1">
      <alignment horizontal="left" vertical="center" shrinkToFit="1"/>
    </xf>
    <xf numFmtId="196" fontId="0" fillId="0" borderId="153" xfId="0" applyNumberFormat="1" applyBorder="1" applyAlignment="1">
      <alignment vertical="center" shrinkToFit="1"/>
    </xf>
    <xf numFmtId="6" fontId="27" fillId="28" borderId="153" xfId="34" applyNumberFormat="1" applyFill="1" applyBorder="1" applyProtection="1">
      <alignment vertical="center"/>
    </xf>
    <xf numFmtId="38" fontId="27" fillId="28" borderId="153" xfId="34" applyFill="1" applyBorder="1" applyAlignment="1" applyProtection="1">
      <alignment horizontal="center" vertical="center"/>
    </xf>
    <xf numFmtId="0" fontId="25" fillId="0" borderId="156" xfId="0" applyFont="1" applyBorder="1">
      <alignment vertical="center"/>
    </xf>
    <xf numFmtId="38" fontId="27" fillId="28" borderId="156" xfId="34" applyFill="1" applyBorder="1" applyAlignment="1" applyProtection="1">
      <alignment horizontal="right" vertical="center"/>
    </xf>
    <xf numFmtId="38" fontId="27" fillId="28" borderId="156" xfId="34" applyFill="1" applyBorder="1" applyAlignment="1" applyProtection="1">
      <alignment horizontal="left" vertical="center"/>
    </xf>
    <xf numFmtId="0" fontId="0" fillId="0" borderId="144" xfId="0" applyBorder="1">
      <alignment vertical="center"/>
    </xf>
    <xf numFmtId="0" fontId="0" fillId="0" borderId="144" xfId="0" applyBorder="1" applyAlignment="1">
      <alignment horizontal="center" vertical="center"/>
    </xf>
    <xf numFmtId="0" fontId="0" fillId="0" borderId="0" xfId="0" applyAlignment="1">
      <alignment horizontal="right" vertical="center" shrinkToFit="1"/>
    </xf>
    <xf numFmtId="195" fontId="0" fillId="0" borderId="0" xfId="0" applyNumberFormat="1" applyAlignment="1">
      <alignment vertical="center" shrinkToFit="1"/>
    </xf>
    <xf numFmtId="198" fontId="0" fillId="0" borderId="0" xfId="0" applyNumberFormat="1" applyAlignment="1">
      <alignment vertical="center" shrinkToFit="1"/>
    </xf>
    <xf numFmtId="194" fontId="0" fillId="0" borderId="0" xfId="0" applyNumberFormat="1" applyAlignment="1">
      <alignment vertical="center" shrinkToFit="1"/>
    </xf>
    <xf numFmtId="0" fontId="0" fillId="33" borderId="144" xfId="0" applyFill="1" applyBorder="1" applyAlignment="1">
      <alignment horizontal="center" vertical="center" shrinkToFit="1"/>
    </xf>
    <xf numFmtId="6" fontId="27" fillId="28" borderId="144" xfId="34" applyNumberFormat="1" applyFill="1" applyBorder="1" applyProtection="1">
      <alignment vertical="center"/>
    </xf>
    <xf numFmtId="6" fontId="27" fillId="28" borderId="154" xfId="34" applyNumberFormat="1" applyFill="1" applyBorder="1" applyProtection="1">
      <alignment vertical="center"/>
    </xf>
    <xf numFmtId="6" fontId="0" fillId="0" borderId="144" xfId="0" applyNumberFormat="1" applyBorder="1">
      <alignment vertical="center"/>
    </xf>
    <xf numFmtId="6" fontId="27" fillId="28" borderId="148" xfId="34" applyNumberFormat="1" applyFill="1" applyBorder="1" applyProtection="1">
      <alignment vertical="center"/>
    </xf>
    <xf numFmtId="6" fontId="27" fillId="28" borderId="160" xfId="34" applyNumberFormat="1" applyFill="1" applyBorder="1" applyProtection="1">
      <alignment vertical="center"/>
    </xf>
    <xf numFmtId="38" fontId="27" fillId="0" borderId="0" xfId="34" applyFill="1" applyBorder="1" applyProtection="1">
      <alignment vertical="center"/>
    </xf>
    <xf numFmtId="6" fontId="27" fillId="28" borderId="0" xfId="34" applyNumberFormat="1" applyFill="1" applyBorder="1" applyProtection="1">
      <alignment vertical="center"/>
    </xf>
    <xf numFmtId="0" fontId="0" fillId="0" borderId="157" xfId="0" applyBorder="1">
      <alignment vertical="center"/>
    </xf>
    <xf numFmtId="38" fontId="27" fillId="0" borderId="158" xfId="34" applyFill="1" applyBorder="1" applyProtection="1">
      <alignment vertical="center"/>
    </xf>
    <xf numFmtId="6" fontId="27" fillId="0" borderId="158" xfId="34" applyNumberFormat="1" applyFill="1" applyBorder="1" applyProtection="1">
      <alignment vertical="center"/>
    </xf>
    <xf numFmtId="0" fontId="0" fillId="33" borderId="144" xfId="0" applyFill="1" applyBorder="1" applyAlignment="1">
      <alignment horizontal="center" vertical="center"/>
    </xf>
    <xf numFmtId="40" fontId="0" fillId="0" borderId="144" xfId="0" applyNumberFormat="1" applyBorder="1">
      <alignment vertical="center"/>
    </xf>
    <xf numFmtId="0" fontId="27" fillId="0" borderId="152" xfId="0" applyFont="1" applyBorder="1">
      <alignment vertical="center"/>
    </xf>
    <xf numFmtId="205" fontId="0" fillId="33" borderId="153" xfId="0" applyNumberFormat="1" applyFill="1" applyBorder="1" applyAlignment="1">
      <alignment horizontal="center" vertical="center" shrinkToFit="1"/>
    </xf>
    <xf numFmtId="38" fontId="0" fillId="0" borderId="157" xfId="34" applyFont="1" applyFill="1" applyBorder="1" applyAlignment="1" applyProtection="1">
      <alignment horizontal="left" vertical="center" shrinkToFit="1"/>
    </xf>
    <xf numFmtId="0" fontId="29" fillId="37" borderId="162" xfId="0" applyFont="1" applyFill="1" applyBorder="1" applyAlignment="1">
      <alignment horizontal="center" vertical="center"/>
    </xf>
    <xf numFmtId="10" fontId="29" fillId="0" borderId="163" xfId="28" applyNumberFormat="1" applyFont="1" applyFill="1" applyBorder="1">
      <alignment vertical="center"/>
    </xf>
    <xf numFmtId="205" fontId="0" fillId="33" borderId="144" xfId="0" applyNumberFormat="1" applyFill="1" applyBorder="1" applyAlignment="1">
      <alignment horizontal="center" vertical="center" shrinkToFit="1"/>
    </xf>
    <xf numFmtId="0" fontId="0" fillId="0" borderId="167" xfId="0" applyBorder="1">
      <alignment vertical="center"/>
    </xf>
    <xf numFmtId="0" fontId="0" fillId="0" borderId="168" xfId="0" applyBorder="1">
      <alignment vertical="center"/>
    </xf>
    <xf numFmtId="0" fontId="50" fillId="31" borderId="0" xfId="0" applyFont="1" applyFill="1" applyAlignment="1">
      <alignment horizontal="left" vertical="center"/>
    </xf>
    <xf numFmtId="0" fontId="50" fillId="31" borderId="0" xfId="0" applyFont="1" applyFill="1" applyAlignment="1">
      <alignment horizontal="center" vertical="center"/>
    </xf>
    <xf numFmtId="0" fontId="0" fillId="0" borderId="15" xfId="0" applyBorder="1">
      <alignment vertical="center"/>
    </xf>
    <xf numFmtId="205" fontId="0" fillId="33" borderId="144" xfId="0" applyNumberFormat="1" applyFill="1" applyBorder="1" applyAlignment="1">
      <alignment horizontal="center" vertical="center"/>
    </xf>
    <xf numFmtId="0" fontId="0" fillId="33" borderId="169" xfId="0" applyFill="1" applyBorder="1" applyAlignment="1">
      <alignment horizontal="center" vertical="center"/>
    </xf>
    <xf numFmtId="199" fontId="0" fillId="0" borderId="159" xfId="0" applyNumberFormat="1" applyBorder="1" applyAlignment="1">
      <alignment horizontal="center" vertical="center" shrinkToFit="1"/>
    </xf>
    <xf numFmtId="9" fontId="38" fillId="39" borderId="173" xfId="0" applyNumberFormat="1" applyFont="1" applyFill="1" applyBorder="1" applyAlignment="1">
      <alignment horizontal="center" vertical="center" shrinkToFit="1"/>
    </xf>
    <xf numFmtId="193" fontId="38" fillId="0" borderId="155" xfId="0" applyNumberFormat="1" applyFont="1" applyBorder="1" applyAlignment="1">
      <alignment horizontal="center" vertical="center" shrinkToFit="1"/>
    </xf>
    <xf numFmtId="209" fontId="0" fillId="38" borderId="144" xfId="0" applyNumberFormat="1" applyFill="1" applyBorder="1" applyAlignment="1">
      <alignment vertical="center" shrinkToFit="1"/>
    </xf>
    <xf numFmtId="191" fontId="0" fillId="38" borderId="144" xfId="0" applyNumberFormat="1" applyFill="1" applyBorder="1" applyAlignment="1">
      <alignment vertical="center" shrinkToFit="1"/>
    </xf>
    <xf numFmtId="0" fontId="0" fillId="0" borderId="0" xfId="0" applyAlignment="1">
      <alignment horizontal="center" vertical="center"/>
    </xf>
    <xf numFmtId="0" fontId="52" fillId="38" borderId="12" xfId="0" applyFont="1" applyFill="1" applyBorder="1" applyAlignment="1">
      <alignment horizontal="center" vertical="center" shrinkToFit="1"/>
    </xf>
    <xf numFmtId="177" fontId="52" fillId="38" borderId="10" xfId="0" applyNumberFormat="1" applyFont="1" applyFill="1" applyBorder="1" applyAlignment="1">
      <alignment horizontal="center" vertical="center" shrinkToFit="1"/>
    </xf>
    <xf numFmtId="38" fontId="53" fillId="0" borderId="10" xfId="34" applyFont="1" applyFill="1" applyBorder="1" applyAlignment="1" applyProtection="1">
      <alignment horizontal="left" vertical="center" shrinkToFit="1"/>
    </xf>
    <xf numFmtId="38" fontId="53" fillId="0" borderId="10" xfId="34" applyFont="1" applyFill="1" applyBorder="1" applyAlignment="1" applyProtection="1">
      <alignment vertical="center" shrinkToFit="1"/>
    </xf>
    <xf numFmtId="38" fontId="53" fillId="4" borderId="13" xfId="34" applyFont="1" applyFill="1" applyBorder="1" applyAlignment="1" applyProtection="1">
      <alignment horizontal="left" vertical="center" shrinkToFit="1"/>
    </xf>
    <xf numFmtId="191" fontId="53" fillId="4" borderId="10" xfId="34" applyNumberFormat="1" applyFont="1" applyFill="1" applyBorder="1" applyAlignment="1" applyProtection="1">
      <alignment vertical="center" shrinkToFit="1"/>
    </xf>
    <xf numFmtId="191" fontId="53" fillId="0" borderId="10" xfId="34" applyNumberFormat="1" applyFont="1" applyFill="1" applyBorder="1" applyAlignment="1" applyProtection="1">
      <alignment vertical="center" shrinkToFit="1"/>
    </xf>
    <xf numFmtId="38" fontId="53" fillId="3" borderId="10" xfId="34" applyFont="1" applyFill="1" applyBorder="1" applyAlignment="1" applyProtection="1">
      <alignment vertical="center" shrinkToFit="1"/>
    </xf>
    <xf numFmtId="191" fontId="53" fillId="3" borderId="10" xfId="34" applyNumberFormat="1" applyFont="1" applyFill="1" applyBorder="1" applyAlignment="1" applyProtection="1">
      <alignment vertical="center" shrinkToFit="1"/>
    </xf>
    <xf numFmtId="191" fontId="53" fillId="0" borderId="52" xfId="34" applyNumberFormat="1" applyFont="1" applyFill="1" applyBorder="1" applyAlignment="1" applyProtection="1">
      <alignment vertical="center" shrinkToFit="1"/>
    </xf>
    <xf numFmtId="0" fontId="53" fillId="0" borderId="19" xfId="0" applyFont="1" applyBorder="1" applyAlignment="1">
      <alignment vertical="center" shrinkToFit="1"/>
    </xf>
    <xf numFmtId="0" fontId="49" fillId="38" borderId="12" xfId="0" applyFont="1" applyFill="1" applyBorder="1" applyAlignment="1">
      <alignment horizontal="center" vertical="center" shrinkToFit="1"/>
    </xf>
    <xf numFmtId="177" fontId="49" fillId="38" borderId="10" xfId="0" applyNumberFormat="1" applyFont="1" applyFill="1" applyBorder="1" applyAlignment="1">
      <alignment horizontal="center" vertical="center" shrinkToFit="1"/>
    </xf>
    <xf numFmtId="0" fontId="54" fillId="0" borderId="0" xfId="0" applyFont="1" applyAlignment="1">
      <alignment vertical="center" shrinkToFit="1"/>
    </xf>
    <xf numFmtId="178" fontId="54" fillId="0" borderId="10" xfId="34" applyNumberFormat="1" applyFont="1" applyFill="1" applyBorder="1" applyAlignment="1" applyProtection="1">
      <alignment vertical="center" shrinkToFit="1"/>
    </xf>
    <xf numFmtId="38" fontId="54" fillId="0" borderId="10" xfId="34" applyFont="1" applyFill="1" applyBorder="1" applyAlignment="1" applyProtection="1">
      <alignment horizontal="left" vertical="center" shrinkToFit="1"/>
    </xf>
    <xf numFmtId="38" fontId="54" fillId="0" borderId="10" xfId="34" applyFont="1" applyFill="1" applyBorder="1" applyAlignment="1" applyProtection="1">
      <alignment vertical="center" shrinkToFit="1"/>
    </xf>
    <xf numFmtId="38" fontId="54" fillId="4" borderId="13" xfId="34" applyFont="1" applyFill="1" applyBorder="1" applyAlignment="1" applyProtection="1">
      <alignment horizontal="left" vertical="center" shrinkToFit="1"/>
    </xf>
    <xf numFmtId="191" fontId="54" fillId="4" borderId="10" xfId="34" applyNumberFormat="1" applyFont="1" applyFill="1" applyBorder="1" applyAlignment="1" applyProtection="1">
      <alignment vertical="center" shrinkToFit="1"/>
    </xf>
    <xf numFmtId="191" fontId="54" fillId="0" borderId="10" xfId="34" applyNumberFormat="1" applyFont="1" applyFill="1" applyBorder="1" applyAlignment="1" applyProtection="1">
      <alignment vertical="center" shrinkToFit="1"/>
    </xf>
    <xf numFmtId="38" fontId="54" fillId="3" borderId="10" xfId="34" applyFont="1" applyFill="1" applyBorder="1" applyAlignment="1" applyProtection="1">
      <alignment vertical="center" shrinkToFit="1"/>
    </xf>
    <xf numFmtId="191" fontId="54" fillId="3" borderId="10" xfId="34" applyNumberFormat="1" applyFont="1" applyFill="1" applyBorder="1" applyAlignment="1" applyProtection="1">
      <alignment vertical="center" shrinkToFit="1"/>
    </xf>
    <xf numFmtId="191" fontId="54" fillId="0" borderId="52" xfId="34" applyNumberFormat="1" applyFont="1" applyFill="1" applyBorder="1" applyAlignment="1" applyProtection="1">
      <alignment horizontal="right" vertical="center" shrinkToFit="1"/>
    </xf>
    <xf numFmtId="191" fontId="54" fillId="0" borderId="52" xfId="34" applyNumberFormat="1" applyFont="1" applyFill="1" applyBorder="1" applyAlignment="1" applyProtection="1">
      <alignment vertical="center" shrinkToFit="1"/>
    </xf>
    <xf numFmtId="38" fontId="54" fillId="34" borderId="10" xfId="34" applyFont="1" applyFill="1" applyBorder="1" applyAlignment="1" applyProtection="1">
      <alignment horizontal="left" vertical="center" shrinkToFit="1"/>
    </xf>
    <xf numFmtId="191" fontId="54" fillId="34" borderId="10" xfId="34" applyNumberFormat="1" applyFont="1" applyFill="1" applyBorder="1" applyAlignment="1" applyProtection="1">
      <alignment vertical="center" shrinkToFit="1"/>
    </xf>
    <xf numFmtId="38" fontId="54" fillId="34" borderId="13" xfId="34" applyFont="1" applyFill="1" applyBorder="1" applyAlignment="1" applyProtection="1">
      <alignment horizontal="left" vertical="center" shrinkToFit="1"/>
    </xf>
    <xf numFmtId="191" fontId="54" fillId="34" borderId="13" xfId="34" applyNumberFormat="1" applyFont="1" applyFill="1" applyBorder="1" applyAlignment="1" applyProtection="1">
      <alignment vertical="center" shrinkToFit="1"/>
    </xf>
    <xf numFmtId="0" fontId="54" fillId="0" borderId="19" xfId="0" applyFont="1" applyBorder="1" applyAlignment="1">
      <alignment vertical="center" shrinkToFit="1"/>
    </xf>
    <xf numFmtId="191" fontId="54" fillId="0" borderId="19" xfId="0" applyNumberFormat="1" applyFont="1" applyBorder="1" applyAlignment="1">
      <alignment vertical="center" shrinkToFit="1"/>
    </xf>
    <xf numFmtId="182" fontId="52" fillId="26" borderId="53" xfId="0" applyNumberFormat="1" applyFont="1" applyFill="1" applyBorder="1" applyAlignment="1">
      <alignment vertical="center" shrinkToFit="1"/>
    </xf>
    <xf numFmtId="0" fontId="53" fillId="0" borderId="14" xfId="0" applyFont="1" applyBorder="1" applyAlignment="1">
      <alignment vertical="center" shrinkToFit="1"/>
    </xf>
    <xf numFmtId="0" fontId="53" fillId="0" borderId="11" xfId="0" applyFont="1" applyBorder="1" applyAlignment="1">
      <alignment vertical="center" shrinkToFit="1"/>
    </xf>
    <xf numFmtId="191" fontId="50" fillId="0" borderId="10" xfId="34" applyNumberFormat="1" applyFont="1" applyFill="1" applyBorder="1" applyAlignment="1" applyProtection="1">
      <alignment vertical="center" shrinkToFit="1"/>
    </xf>
    <xf numFmtId="0" fontId="53" fillId="4" borderId="14" xfId="0" applyFont="1" applyFill="1" applyBorder="1" applyAlignment="1">
      <alignment horizontal="left" vertical="center" shrinkToFit="1"/>
    </xf>
    <xf numFmtId="0" fontId="53" fillId="4" borderId="14" xfId="0" applyFont="1" applyFill="1" applyBorder="1" applyAlignment="1">
      <alignment vertical="center" shrinkToFit="1"/>
    </xf>
    <xf numFmtId="0" fontId="53" fillId="4" borderId="15" xfId="0" applyFont="1" applyFill="1" applyBorder="1" applyAlignment="1">
      <alignment vertical="center" shrinkToFit="1"/>
    </xf>
    <xf numFmtId="0" fontId="53" fillId="3" borderId="13" xfId="0" applyFont="1" applyFill="1" applyBorder="1" applyAlignment="1">
      <alignment horizontal="left" vertical="center" shrinkToFit="1"/>
    </xf>
    <xf numFmtId="0" fontId="53" fillId="3" borderId="14" xfId="0" applyFont="1" applyFill="1" applyBorder="1" applyAlignment="1">
      <alignment vertical="center" shrinkToFit="1"/>
    </xf>
    <xf numFmtId="0" fontId="53" fillId="0" borderId="11" xfId="0" applyFont="1" applyBorder="1" applyAlignment="1">
      <alignment horizontal="left" vertical="center" shrinkToFit="1"/>
    </xf>
    <xf numFmtId="0" fontId="53" fillId="0" borderId="55" xfId="0" applyFont="1" applyBorder="1" applyAlignment="1">
      <alignment horizontal="left" vertical="center" shrinkToFit="1"/>
    </xf>
    <xf numFmtId="191" fontId="53" fillId="0" borderId="55" xfId="0" applyNumberFormat="1" applyFont="1" applyBorder="1" applyAlignment="1">
      <alignment horizontal="right" vertical="center" shrinkToFit="1"/>
    </xf>
    <xf numFmtId="0" fontId="53" fillId="34" borderId="10" xfId="0" applyFont="1" applyFill="1" applyBorder="1" applyAlignment="1">
      <alignment horizontal="left" vertical="center" shrinkToFit="1"/>
    </xf>
    <xf numFmtId="0" fontId="53" fillId="0" borderId="10" xfId="0" applyFont="1" applyBorder="1" applyAlignment="1">
      <alignment horizontal="left" vertical="center" shrinkToFit="1"/>
    </xf>
    <xf numFmtId="0" fontId="53" fillId="34" borderId="13" xfId="0" applyFont="1" applyFill="1" applyBorder="1" applyAlignment="1">
      <alignment horizontal="left" vertical="center" shrinkToFit="1"/>
    </xf>
    <xf numFmtId="179" fontId="53" fillId="0" borderId="0" xfId="0" applyNumberFormat="1" applyFont="1">
      <alignment vertical="center"/>
    </xf>
    <xf numFmtId="6" fontId="53" fillId="0" borderId="11" xfId="0" applyNumberFormat="1" applyFont="1" applyBorder="1" applyAlignment="1">
      <alignment vertical="center" shrinkToFit="1"/>
    </xf>
    <xf numFmtId="0" fontId="53" fillId="33" borderId="10" xfId="0" applyFont="1" applyFill="1" applyBorder="1" applyAlignment="1">
      <alignment horizontal="left" vertical="center" shrinkToFit="1"/>
    </xf>
    <xf numFmtId="0" fontId="53" fillId="30" borderId="10" xfId="0" applyFont="1" applyFill="1" applyBorder="1" applyAlignment="1">
      <alignment horizontal="left" vertical="center" shrinkToFit="1"/>
    </xf>
    <xf numFmtId="0" fontId="53" fillId="32" borderId="10" xfId="0" applyFont="1" applyFill="1" applyBorder="1" applyAlignment="1">
      <alignment horizontal="center" vertical="center" shrinkToFit="1"/>
    </xf>
    <xf numFmtId="10" fontId="52" fillId="41" borderId="10" xfId="34" applyNumberFormat="1" applyFont="1" applyFill="1" applyBorder="1" applyAlignment="1" applyProtection="1">
      <alignment horizontal="center" vertical="center" shrinkToFit="1"/>
    </xf>
    <xf numFmtId="10" fontId="52" fillId="42" borderId="10" xfId="34" applyNumberFormat="1" applyFont="1" applyFill="1" applyBorder="1" applyAlignment="1" applyProtection="1">
      <alignment horizontal="center" vertical="center" shrinkToFit="1"/>
    </xf>
    <xf numFmtId="0" fontId="53" fillId="0" borderId="13" xfId="0" applyFont="1" applyBorder="1" applyAlignment="1">
      <alignment horizontal="left" vertical="center" shrinkToFit="1"/>
    </xf>
    <xf numFmtId="191" fontId="53" fillId="0" borderId="10" xfId="34" applyNumberFormat="1" applyFont="1" applyFill="1" applyBorder="1" applyAlignment="1" applyProtection="1">
      <alignment horizontal="right" vertical="center" shrinkToFit="1"/>
    </xf>
    <xf numFmtId="38" fontId="53" fillId="0" borderId="52" xfId="34" applyFont="1" applyFill="1" applyBorder="1" applyAlignment="1" applyProtection="1">
      <alignment horizontal="left" vertical="center" shrinkToFit="1"/>
    </xf>
    <xf numFmtId="191" fontId="56" fillId="40" borderId="10" xfId="34" applyNumberFormat="1" applyFont="1" applyFill="1" applyBorder="1" applyAlignment="1" applyProtection="1">
      <alignment horizontal="right" vertical="center" shrinkToFit="1"/>
    </xf>
    <xf numFmtId="191" fontId="53" fillId="33" borderId="10" xfId="34" applyNumberFormat="1" applyFont="1" applyFill="1" applyBorder="1" applyAlignment="1" applyProtection="1">
      <alignment vertical="center" shrinkToFit="1"/>
    </xf>
    <xf numFmtId="38" fontId="53" fillId="32" borderId="10" xfId="34" applyFont="1" applyFill="1" applyBorder="1" applyAlignment="1" applyProtection="1">
      <alignment horizontal="center" vertical="center" shrinkToFit="1"/>
    </xf>
    <xf numFmtId="10" fontId="52" fillId="41" borderId="10" xfId="34" applyNumberFormat="1" applyFont="1" applyFill="1" applyBorder="1" applyAlignment="1" applyProtection="1">
      <alignment vertical="center" shrinkToFit="1"/>
    </xf>
    <xf numFmtId="177" fontId="53" fillId="38" borderId="10" xfId="0" applyNumberFormat="1" applyFont="1" applyFill="1" applyBorder="1" applyAlignment="1">
      <alignment vertical="center" shrinkToFit="1"/>
    </xf>
    <xf numFmtId="6" fontId="53" fillId="0" borderId="54" xfId="0" applyNumberFormat="1" applyFont="1" applyBorder="1" applyAlignment="1">
      <alignment horizontal="right" vertical="center" shrinkToFit="1"/>
    </xf>
    <xf numFmtId="186" fontId="53" fillId="0" borderId="54" xfId="0" applyNumberFormat="1" applyFont="1" applyBorder="1" applyAlignment="1">
      <alignment vertical="center" shrinkToFit="1"/>
    </xf>
    <xf numFmtId="6" fontId="53" fillId="0" borderId="54" xfId="0" applyNumberFormat="1" applyFont="1" applyBorder="1" applyAlignment="1">
      <alignment vertical="center" shrinkToFit="1"/>
    </xf>
    <xf numFmtId="10" fontId="53" fillId="0" borderId="54" xfId="0" applyNumberFormat="1" applyFont="1" applyBorder="1">
      <alignment vertical="center"/>
    </xf>
    <xf numFmtId="6" fontId="53" fillId="0" borderId="54" xfId="0" applyNumberFormat="1" applyFont="1" applyBorder="1">
      <alignment vertical="center"/>
    </xf>
    <xf numFmtId="6" fontId="53" fillId="0" borderId="22" xfId="0" applyNumberFormat="1" applyFont="1" applyBorder="1" applyAlignment="1">
      <alignment horizontal="right" vertical="center" shrinkToFit="1"/>
    </xf>
    <xf numFmtId="186" fontId="53" fillId="0" borderId="22" xfId="0" applyNumberFormat="1" applyFont="1" applyBorder="1" applyAlignment="1">
      <alignment vertical="center" shrinkToFit="1"/>
    </xf>
    <xf numFmtId="6" fontId="53" fillId="0" borderId="22" xfId="0" applyNumberFormat="1" applyFont="1" applyBorder="1" applyAlignment="1">
      <alignment vertical="center" shrinkToFit="1"/>
    </xf>
    <xf numFmtId="10" fontId="53" fillId="0" borderId="22" xfId="0" applyNumberFormat="1" applyFont="1" applyBorder="1">
      <alignment vertical="center"/>
    </xf>
    <xf numFmtId="6" fontId="53" fillId="0" borderId="22" xfId="0" applyNumberFormat="1" applyFont="1" applyBorder="1">
      <alignment vertical="center"/>
    </xf>
    <xf numFmtId="179" fontId="53" fillId="0" borderId="0" xfId="0" applyNumberFormat="1" applyFont="1" applyAlignment="1">
      <alignment vertical="center" shrinkToFit="1"/>
    </xf>
    <xf numFmtId="179" fontId="53" fillId="0" borderId="79" xfId="0" applyNumberFormat="1" applyFont="1" applyBorder="1" applyAlignment="1">
      <alignment vertical="center" shrinkToFit="1"/>
    </xf>
    <xf numFmtId="179" fontId="53" fillId="0" borderId="80" xfId="0" applyNumberFormat="1" applyFont="1" applyBorder="1">
      <alignment vertical="center"/>
    </xf>
    <xf numFmtId="180" fontId="53" fillId="0" borderId="18" xfId="34" applyNumberFormat="1" applyFont="1" applyFill="1" applyBorder="1" applyAlignment="1">
      <alignment horizontal="center" vertical="center" shrinkToFit="1"/>
    </xf>
    <xf numFmtId="180" fontId="53" fillId="0" borderId="20" xfId="34" applyNumberFormat="1" applyFont="1" applyFill="1" applyBorder="1" applyAlignment="1">
      <alignment horizontal="center" vertical="center" shrinkToFit="1"/>
    </xf>
    <xf numFmtId="180" fontId="53" fillId="0" borderId="21" xfId="34" applyNumberFormat="1" applyFont="1" applyFill="1" applyBorder="1" applyAlignment="1">
      <alignment horizontal="center" vertical="center" shrinkToFit="1"/>
    </xf>
    <xf numFmtId="180" fontId="53" fillId="0" borderId="23" xfId="34" applyNumberFormat="1" applyFont="1" applyFill="1" applyBorder="1" applyAlignment="1">
      <alignment horizontal="center" vertical="center" shrinkToFit="1"/>
    </xf>
    <xf numFmtId="0" fontId="0" fillId="0" borderId="143" xfId="0" applyBorder="1" applyAlignment="1">
      <alignment horizontal="center" vertical="center"/>
    </xf>
    <xf numFmtId="0" fontId="0" fillId="0" borderId="169" xfId="0" applyBorder="1">
      <alignment vertical="center"/>
    </xf>
    <xf numFmtId="0" fontId="53" fillId="0" borderId="173" xfId="0" applyFont="1" applyBorder="1" applyAlignment="1">
      <alignment horizontal="left" vertical="center" shrinkToFit="1"/>
    </xf>
    <xf numFmtId="38" fontId="53" fillId="0" borderId="152" xfId="34" applyFont="1" applyFill="1" applyBorder="1" applyAlignment="1" applyProtection="1">
      <alignment horizontal="left" vertical="center" shrinkToFit="1"/>
    </xf>
    <xf numFmtId="191" fontId="53" fillId="0" borderId="152" xfId="34" applyNumberFormat="1" applyFont="1" applyFill="1" applyBorder="1" applyAlignment="1" applyProtection="1">
      <alignment vertical="center" shrinkToFit="1"/>
    </xf>
    <xf numFmtId="191" fontId="36" fillId="0" borderId="152" xfId="34" applyNumberFormat="1" applyFont="1" applyFill="1" applyBorder="1" applyAlignment="1" applyProtection="1">
      <alignment vertical="center" shrinkToFit="1"/>
    </xf>
    <xf numFmtId="211" fontId="53" fillId="0" borderId="52" xfId="34" applyNumberFormat="1" applyFont="1" applyFill="1" applyBorder="1" applyAlignment="1" applyProtection="1">
      <alignment vertical="center" shrinkToFit="1"/>
    </xf>
    <xf numFmtId="191" fontId="53" fillId="0" borderId="11" xfId="0" applyNumberFormat="1" applyFont="1" applyBorder="1" applyAlignment="1">
      <alignment horizontal="left" vertical="center" shrinkToFit="1"/>
    </xf>
    <xf numFmtId="6" fontId="0" fillId="0" borderId="0" xfId="0" applyNumberFormat="1">
      <alignment vertical="center"/>
    </xf>
    <xf numFmtId="0" fontId="53" fillId="30" borderId="152" xfId="0" applyFont="1" applyFill="1" applyBorder="1" applyAlignment="1">
      <alignment horizontal="left" vertical="center" shrinkToFit="1"/>
    </xf>
    <xf numFmtId="0" fontId="53" fillId="0" borderId="157" xfId="0" applyFont="1" applyBorder="1" applyAlignment="1">
      <alignment horizontal="left" vertical="center" shrinkToFit="1"/>
    </xf>
    <xf numFmtId="38" fontId="54" fillId="0" borderId="157" xfId="34" applyFont="1" applyFill="1" applyBorder="1" applyAlignment="1" applyProtection="1">
      <alignment horizontal="left" vertical="center" shrinkToFit="1"/>
    </xf>
    <xf numFmtId="191" fontId="54" fillId="0" borderId="157" xfId="34" applyNumberFormat="1" applyFont="1" applyFill="1" applyBorder="1" applyAlignment="1" applyProtection="1">
      <alignment vertical="center" shrinkToFit="1"/>
    </xf>
    <xf numFmtId="191" fontId="36" fillId="0" borderId="157" xfId="34" applyNumberFormat="1" applyFont="1" applyFill="1" applyBorder="1" applyAlignment="1" applyProtection="1">
      <alignment vertical="center" shrinkToFit="1"/>
    </xf>
    <xf numFmtId="187" fontId="0" fillId="0" borderId="0" xfId="0" applyNumberFormat="1">
      <alignment vertical="center"/>
    </xf>
    <xf numFmtId="191" fontId="59" fillId="0" borderId="10" xfId="34" applyNumberFormat="1" applyFont="1" applyFill="1" applyBorder="1" applyAlignment="1" applyProtection="1">
      <alignment vertical="center" shrinkToFit="1"/>
    </xf>
    <xf numFmtId="38" fontId="27" fillId="0" borderId="173" xfId="34" applyFill="1" applyBorder="1" applyProtection="1">
      <alignment vertical="center"/>
    </xf>
    <xf numFmtId="6" fontId="27" fillId="0" borderId="173" xfId="34" applyNumberFormat="1" applyFill="1" applyBorder="1" applyProtection="1">
      <alignment vertical="center"/>
    </xf>
    <xf numFmtId="191" fontId="0" fillId="0" borderId="169" xfId="0" applyNumberFormat="1" applyBorder="1" applyAlignment="1">
      <alignment vertical="center" shrinkToFit="1"/>
    </xf>
    <xf numFmtId="40" fontId="0" fillId="0" borderId="169" xfId="0" applyNumberFormat="1" applyBorder="1">
      <alignment vertical="center"/>
    </xf>
    <xf numFmtId="6" fontId="27" fillId="0" borderId="169" xfId="34" applyNumberFormat="1" applyFill="1" applyBorder="1" applyProtection="1">
      <alignment vertical="center"/>
    </xf>
    <xf numFmtId="38" fontId="0" fillId="48" borderId="155" xfId="34" applyFont="1" applyFill="1" applyBorder="1" applyAlignment="1" applyProtection="1">
      <alignment horizontal="center" vertical="center"/>
    </xf>
    <xf numFmtId="38" fontId="0" fillId="33" borderId="15" xfId="34" applyFont="1" applyFill="1" applyBorder="1" applyAlignment="1" applyProtection="1">
      <alignment horizontal="center" vertical="center" shrinkToFit="1"/>
    </xf>
    <xf numFmtId="6" fontId="0" fillId="48" borderId="155" xfId="34" applyNumberFormat="1" applyFont="1" applyFill="1" applyBorder="1" applyAlignment="1" applyProtection="1">
      <alignment horizontal="center" vertical="center"/>
    </xf>
    <xf numFmtId="0" fontId="33" fillId="0" borderId="169" xfId="0" applyFont="1" applyBorder="1" applyAlignment="1">
      <alignment horizontal="center" vertical="center"/>
    </xf>
    <xf numFmtId="38" fontId="27" fillId="0" borderId="158" xfId="34" applyFill="1" applyBorder="1" applyAlignment="1" applyProtection="1">
      <alignment horizontal="right" vertical="center" shrinkToFit="1"/>
    </xf>
    <xf numFmtId="0" fontId="0" fillId="33" borderId="164" xfId="0" applyFill="1" applyBorder="1" applyAlignment="1">
      <alignment horizontal="center" vertical="center"/>
    </xf>
    <xf numFmtId="0" fontId="29" fillId="33" borderId="165" xfId="0" applyFont="1" applyFill="1" applyBorder="1" applyAlignment="1">
      <alignment horizontal="center" vertical="center"/>
    </xf>
    <xf numFmtId="0" fontId="25" fillId="33" borderId="166" xfId="0" applyFont="1" applyFill="1" applyBorder="1" applyAlignment="1">
      <alignment horizontal="center" vertical="center"/>
    </xf>
    <xf numFmtId="0" fontId="25" fillId="33" borderId="180" xfId="0" applyFont="1" applyFill="1" applyBorder="1" applyAlignment="1">
      <alignment horizontal="center" vertical="center"/>
    </xf>
    <xf numFmtId="0" fontId="25" fillId="33" borderId="181" xfId="0" applyFont="1" applyFill="1" applyBorder="1" applyAlignment="1">
      <alignment horizontal="center" vertical="center"/>
    </xf>
    <xf numFmtId="40" fontId="0" fillId="0" borderId="173" xfId="34" applyNumberFormat="1" applyFont="1" applyFill="1" applyBorder="1" applyProtection="1">
      <alignment vertical="center"/>
    </xf>
    <xf numFmtId="176" fontId="27" fillId="28" borderId="173" xfId="34" applyNumberFormat="1" applyFill="1" applyBorder="1" applyProtection="1">
      <alignment vertical="center"/>
    </xf>
    <xf numFmtId="9" fontId="27" fillId="28" borderId="173" xfId="34" applyNumberFormat="1" applyFill="1" applyBorder="1" applyProtection="1">
      <alignment vertical="center"/>
    </xf>
    <xf numFmtId="38" fontId="27" fillId="28" borderId="173" xfId="34" applyFill="1" applyBorder="1" applyProtection="1">
      <alignment vertical="center"/>
    </xf>
    <xf numFmtId="38" fontId="27" fillId="28" borderId="173" xfId="34" applyFill="1" applyBorder="1" applyAlignment="1" applyProtection="1">
      <alignment horizontal="right" vertical="center"/>
    </xf>
    <xf numFmtId="0" fontId="0" fillId="33" borderId="167" xfId="0" applyFill="1" applyBorder="1">
      <alignment vertical="center"/>
    </xf>
    <xf numFmtId="0" fontId="0" fillId="33" borderId="152" xfId="0" applyFill="1" applyBorder="1" applyAlignment="1">
      <alignment horizontal="center" vertical="center"/>
    </xf>
    <xf numFmtId="0" fontId="0" fillId="33" borderId="173" xfId="0" applyFill="1" applyBorder="1" applyAlignment="1">
      <alignment horizontal="center" vertical="center" shrinkToFit="1"/>
    </xf>
    <xf numFmtId="0" fontId="0" fillId="0" borderId="152" xfId="0" applyBorder="1" applyAlignment="1">
      <alignment horizontal="left" vertical="center"/>
    </xf>
    <xf numFmtId="38" fontId="27" fillId="0" borderId="173" xfId="34" applyFill="1" applyBorder="1" applyAlignment="1" applyProtection="1">
      <alignment horizontal="right" vertical="center" shrinkToFit="1"/>
    </xf>
    <xf numFmtId="6" fontId="27" fillId="28" borderId="173" xfId="34" applyNumberFormat="1" applyFill="1" applyBorder="1" applyProtection="1">
      <alignment vertical="center"/>
    </xf>
    <xf numFmtId="0" fontId="0" fillId="33" borderId="175" xfId="0" applyFill="1" applyBorder="1">
      <alignment vertical="center"/>
    </xf>
    <xf numFmtId="0" fontId="0" fillId="33" borderId="18" xfId="0" applyFill="1" applyBorder="1">
      <alignment vertical="center"/>
    </xf>
    <xf numFmtId="0" fontId="0" fillId="0" borderId="18" xfId="0" applyBorder="1">
      <alignment vertical="center"/>
    </xf>
    <xf numFmtId="0" fontId="0" fillId="50" borderId="18" xfId="0" applyFill="1" applyBorder="1">
      <alignment vertical="center"/>
    </xf>
    <xf numFmtId="0" fontId="0" fillId="50" borderId="169" xfId="0" applyFill="1" applyBorder="1">
      <alignment vertical="center"/>
    </xf>
    <xf numFmtId="0" fontId="33" fillId="50" borderId="169" xfId="0" applyFont="1" applyFill="1" applyBorder="1" applyAlignment="1">
      <alignment horizontal="center" vertical="center"/>
    </xf>
    <xf numFmtId="6" fontId="33" fillId="50" borderId="169" xfId="0" applyNumberFormat="1" applyFont="1" applyFill="1" applyBorder="1">
      <alignment vertical="center"/>
    </xf>
    <xf numFmtId="0" fontId="0" fillId="0" borderId="57" xfId="0" applyBorder="1">
      <alignment vertical="center"/>
    </xf>
    <xf numFmtId="0" fontId="33" fillId="50" borderId="169" xfId="0" applyFont="1" applyFill="1" applyBorder="1">
      <alignment vertical="center"/>
    </xf>
    <xf numFmtId="6" fontId="0" fillId="0" borderId="169" xfId="0" applyNumberFormat="1" applyBorder="1">
      <alignment vertical="center"/>
    </xf>
    <xf numFmtId="179" fontId="0" fillId="0" borderId="19" xfId="0" applyNumberFormat="1" applyBorder="1" applyAlignment="1">
      <alignment vertical="center" wrapText="1" shrinkToFit="1"/>
    </xf>
    <xf numFmtId="211" fontId="54" fillId="0" borderId="10" xfId="34" applyNumberFormat="1" applyFont="1" applyFill="1" applyBorder="1" applyAlignment="1" applyProtection="1">
      <alignment vertical="center" shrinkToFit="1"/>
    </xf>
    <xf numFmtId="38" fontId="54" fillId="0" borderId="152" xfId="34" applyFont="1" applyFill="1" applyBorder="1" applyAlignment="1" applyProtection="1">
      <alignment horizontal="left" vertical="center" shrinkToFit="1"/>
    </xf>
    <xf numFmtId="191" fontId="54" fillId="0" borderId="152" xfId="34" applyNumberFormat="1" applyFont="1" applyFill="1" applyBorder="1" applyAlignment="1" applyProtection="1">
      <alignment vertical="center" shrinkToFit="1"/>
    </xf>
    <xf numFmtId="0" fontId="0" fillId="0" borderId="169" xfId="0" applyBorder="1" applyAlignment="1">
      <alignment vertical="center" shrinkToFit="1"/>
    </xf>
    <xf numFmtId="0" fontId="0" fillId="0" borderId="169" xfId="0" applyBorder="1" applyAlignment="1">
      <alignment horizontal="center" vertical="center"/>
    </xf>
    <xf numFmtId="191" fontId="0" fillId="38" borderId="169" xfId="0" applyNumberFormat="1" applyFill="1" applyBorder="1" applyAlignment="1">
      <alignment vertical="center" shrinkToFit="1"/>
    </xf>
    <xf numFmtId="6" fontId="27" fillId="28" borderId="169" xfId="34" applyNumberFormat="1" applyFill="1" applyBorder="1" applyProtection="1">
      <alignment vertical="center"/>
    </xf>
    <xf numFmtId="0" fontId="25" fillId="0" borderId="169" xfId="0" applyFont="1" applyBorder="1">
      <alignment vertical="center"/>
    </xf>
    <xf numFmtId="191" fontId="0" fillId="0" borderId="170" xfId="0" applyNumberFormat="1" applyBorder="1" applyAlignment="1">
      <alignment vertical="center" shrinkToFit="1"/>
    </xf>
    <xf numFmtId="40" fontId="0" fillId="0" borderId="170" xfId="0" applyNumberFormat="1" applyBorder="1">
      <alignment vertical="center"/>
    </xf>
    <xf numFmtId="0" fontId="0" fillId="0" borderId="170" xfId="0" applyBorder="1" applyAlignment="1">
      <alignment horizontal="center" vertical="center"/>
    </xf>
    <xf numFmtId="6" fontId="27" fillId="28" borderId="161" xfId="34" applyNumberFormat="1" applyFill="1" applyBorder="1" applyProtection="1">
      <alignment vertical="center"/>
    </xf>
    <xf numFmtId="0" fontId="0" fillId="0" borderId="169" xfId="0" applyBorder="1" applyAlignment="1">
      <alignment horizontal="center" vertical="center" shrinkToFit="1"/>
    </xf>
    <xf numFmtId="0" fontId="0" fillId="0" borderId="161" xfId="0" applyBorder="1" applyAlignment="1">
      <alignment horizontal="center" vertical="center" shrinkToFit="1"/>
    </xf>
    <xf numFmtId="0" fontId="0" fillId="0" borderId="172" xfId="0" applyBorder="1">
      <alignment vertical="center"/>
    </xf>
    <xf numFmtId="0" fontId="0" fillId="33" borderId="166" xfId="0" applyFill="1" applyBorder="1" applyAlignment="1">
      <alignment horizontal="center" vertical="center"/>
    </xf>
    <xf numFmtId="206" fontId="0" fillId="0" borderId="173" xfId="0" applyNumberFormat="1" applyBorder="1" applyAlignment="1">
      <alignment vertical="center" shrinkToFit="1"/>
    </xf>
    <xf numFmtId="0" fontId="0" fillId="0" borderId="173" xfId="0" applyBorder="1" applyAlignment="1">
      <alignment vertical="center" shrinkToFit="1"/>
    </xf>
    <xf numFmtId="0" fontId="0" fillId="0" borderId="158" xfId="0" applyBorder="1" applyAlignment="1">
      <alignment vertical="center" shrinkToFit="1"/>
    </xf>
    <xf numFmtId="0" fontId="0" fillId="33" borderId="149" xfId="0" applyFill="1" applyBorder="1" applyAlignment="1">
      <alignment horizontal="right" vertical="center" shrinkToFit="1"/>
    </xf>
    <xf numFmtId="0" fontId="0" fillId="0" borderId="149" xfId="0" applyBorder="1" applyAlignment="1">
      <alignment horizontal="right" vertical="center" shrinkToFit="1"/>
    </xf>
    <xf numFmtId="0" fontId="0" fillId="0" borderId="149" xfId="0" applyBorder="1" applyAlignment="1">
      <alignment vertical="center" shrinkToFit="1"/>
    </xf>
    <xf numFmtId="0" fontId="0" fillId="0" borderId="82" xfId="0" applyBorder="1" applyAlignment="1">
      <alignment vertical="center" shrinkToFit="1"/>
    </xf>
    <xf numFmtId="191" fontId="0" fillId="50" borderId="149" xfId="0" applyNumberFormat="1" applyFill="1" applyBorder="1" applyAlignment="1">
      <alignment vertical="center" shrinkToFit="1"/>
    </xf>
    <xf numFmtId="0" fontId="0" fillId="33" borderId="146" xfId="0" applyFill="1" applyBorder="1" applyAlignment="1">
      <alignment vertical="center" shrinkToFit="1"/>
    </xf>
    <xf numFmtId="191" fontId="0" fillId="0" borderId="149" xfId="0" applyNumberFormat="1" applyBorder="1" applyAlignment="1">
      <alignment vertical="center" shrinkToFit="1"/>
    </xf>
    <xf numFmtId="0" fontId="0" fillId="0" borderId="143" xfId="0" applyBorder="1" applyAlignment="1">
      <alignment horizontal="center" vertical="center" shrinkToFit="1"/>
    </xf>
    <xf numFmtId="206" fontId="0" fillId="0" borderId="143" xfId="0" applyNumberFormat="1" applyBorder="1" applyAlignment="1">
      <alignment horizontal="center" vertical="center" shrinkToFit="1"/>
    </xf>
    <xf numFmtId="0" fontId="25" fillId="0" borderId="143" xfId="0" applyFont="1" applyBorder="1" applyAlignment="1">
      <alignment horizontal="center" vertical="center" wrapText="1" shrinkToFit="1"/>
    </xf>
    <xf numFmtId="191" fontId="0" fillId="0" borderId="143" xfId="0" applyNumberFormat="1" applyBorder="1" applyAlignment="1">
      <alignment horizontal="center" vertical="center" shrinkToFit="1"/>
    </xf>
    <xf numFmtId="0" fontId="25" fillId="0" borderId="143" xfId="0" applyFont="1" applyBorder="1" applyAlignment="1">
      <alignment horizontal="center" vertical="center"/>
    </xf>
    <xf numFmtId="9" fontId="0" fillId="0" borderId="143" xfId="0" applyNumberFormat="1" applyBorder="1" applyAlignment="1">
      <alignment horizontal="center" vertical="center" shrinkToFit="1"/>
    </xf>
    <xf numFmtId="213" fontId="0" fillId="0" borderId="143" xfId="28" applyNumberFormat="1" applyFont="1" applyFill="1" applyBorder="1" applyAlignment="1">
      <alignment horizontal="center" vertical="center" shrinkToFit="1"/>
    </xf>
    <xf numFmtId="0" fontId="0" fillId="0" borderId="143" xfId="0" quotePrefix="1" applyBorder="1" applyAlignment="1">
      <alignment horizontal="center" vertical="center" shrinkToFit="1"/>
    </xf>
    <xf numFmtId="38" fontId="27" fillId="28" borderId="169" xfId="34" applyFill="1" applyBorder="1" applyProtection="1">
      <alignment vertical="center"/>
    </xf>
    <xf numFmtId="6" fontId="0" fillId="0" borderId="149" xfId="0" applyNumberFormat="1" applyBorder="1" applyAlignment="1">
      <alignment horizontal="left" vertical="center" shrinkToFit="1"/>
    </xf>
    <xf numFmtId="0" fontId="0" fillId="0" borderId="172" xfId="0" applyBorder="1" applyAlignment="1">
      <alignment vertical="center" shrinkToFit="1"/>
    </xf>
    <xf numFmtId="40" fontId="53" fillId="0" borderId="10" xfId="34" applyNumberFormat="1" applyFont="1" applyFill="1" applyBorder="1" applyAlignment="1" applyProtection="1">
      <alignment horizontal="left" vertical="center" shrinkToFit="1"/>
    </xf>
    <xf numFmtId="193" fontId="38" fillId="0" borderId="15" xfId="0" applyNumberFormat="1" applyFont="1" applyBorder="1" applyAlignment="1">
      <alignment horizontal="center" vertical="center" shrinkToFit="1"/>
    </xf>
    <xf numFmtId="10" fontId="36" fillId="0" borderId="142" xfId="0" applyNumberFormat="1" applyFont="1" applyBorder="1" applyAlignment="1">
      <alignment horizontal="center" vertical="center" shrinkToFit="1"/>
    </xf>
    <xf numFmtId="0" fontId="36" fillId="50" borderId="141" xfId="0" applyFont="1" applyFill="1" applyBorder="1" applyAlignment="1">
      <alignment horizontal="center" vertical="center" shrinkToFit="1"/>
    </xf>
    <xf numFmtId="0" fontId="62" fillId="50" borderId="151" xfId="0" applyFont="1" applyFill="1" applyBorder="1" applyAlignment="1">
      <alignment horizontal="center" vertical="center" shrinkToFit="1"/>
    </xf>
    <xf numFmtId="0" fontId="0" fillId="33" borderId="183" xfId="0" applyFill="1" applyBorder="1">
      <alignment vertical="center"/>
    </xf>
    <xf numFmtId="0" fontId="0" fillId="33" borderId="184" xfId="0" applyFill="1" applyBorder="1">
      <alignment vertical="center"/>
    </xf>
    <xf numFmtId="0" fontId="25" fillId="33" borderId="186" xfId="0" applyFont="1" applyFill="1" applyBorder="1">
      <alignment vertical="center"/>
    </xf>
    <xf numFmtId="0" fontId="0" fillId="0" borderId="189" xfId="0" applyBorder="1">
      <alignment vertical="center"/>
    </xf>
    <xf numFmtId="0" fontId="0" fillId="0" borderId="190" xfId="0" applyBorder="1" applyAlignment="1">
      <alignment vertical="center" shrinkToFit="1"/>
    </xf>
    <xf numFmtId="0" fontId="0" fillId="0" borderId="191" xfId="0" applyBorder="1">
      <alignment vertical="center"/>
    </xf>
    <xf numFmtId="0" fontId="25" fillId="0" borderId="190" xfId="0" applyFont="1" applyBorder="1">
      <alignment vertical="center"/>
    </xf>
    <xf numFmtId="0" fontId="25" fillId="0" borderId="191" xfId="0" applyFont="1" applyBorder="1">
      <alignment vertical="center"/>
    </xf>
    <xf numFmtId="0" fontId="25" fillId="0" borderId="172" xfId="0" applyFont="1" applyBorder="1" applyAlignment="1">
      <alignment vertical="center" wrapText="1" shrinkToFit="1"/>
    </xf>
    <xf numFmtId="0" fontId="0" fillId="0" borderId="143" xfId="0" applyBorder="1">
      <alignment vertical="center"/>
    </xf>
    <xf numFmtId="0" fontId="0" fillId="0" borderId="192" xfId="0" applyBorder="1">
      <alignment vertical="center"/>
    </xf>
    <xf numFmtId="176" fontId="0" fillId="0" borderId="191" xfId="0" applyNumberFormat="1" applyBorder="1">
      <alignment vertical="center"/>
    </xf>
    <xf numFmtId="0" fontId="0" fillId="33" borderId="188" xfId="0" applyFill="1" applyBorder="1">
      <alignment vertical="center"/>
    </xf>
    <xf numFmtId="0" fontId="0" fillId="33" borderId="190" xfId="0" applyFill="1" applyBorder="1">
      <alignment vertical="center"/>
    </xf>
    <xf numFmtId="0" fontId="25" fillId="33" borderId="190" xfId="0" applyFont="1" applyFill="1" applyBorder="1">
      <alignment vertical="center"/>
    </xf>
    <xf numFmtId="0" fontId="25" fillId="33" borderId="191" xfId="0" applyFont="1" applyFill="1" applyBorder="1">
      <alignment vertical="center"/>
    </xf>
    <xf numFmtId="0" fontId="25" fillId="33" borderId="172" xfId="0" applyFont="1" applyFill="1" applyBorder="1" applyAlignment="1">
      <alignment vertical="center" wrapText="1" shrinkToFit="1"/>
    </xf>
    <xf numFmtId="0" fontId="0" fillId="0" borderId="193" xfId="0" applyBorder="1">
      <alignment vertical="center"/>
    </xf>
    <xf numFmtId="0" fontId="0" fillId="0" borderId="190" xfId="0" applyBorder="1">
      <alignment vertical="center"/>
    </xf>
    <xf numFmtId="38" fontId="27" fillId="28" borderId="191" xfId="34" applyFill="1" applyBorder="1" applyProtection="1">
      <alignment vertical="center"/>
    </xf>
    <xf numFmtId="0" fontId="25" fillId="0" borderId="194" xfId="0" applyFont="1" applyBorder="1">
      <alignment vertical="center"/>
    </xf>
    <xf numFmtId="38" fontId="0" fillId="0" borderId="191" xfId="34" applyFont="1" applyFill="1" applyBorder="1" applyProtection="1">
      <alignment vertical="center"/>
    </xf>
    <xf numFmtId="176" fontId="27" fillId="0" borderId="191" xfId="34" applyNumberFormat="1" applyFill="1" applyBorder="1" applyProtection="1">
      <alignment vertical="center"/>
    </xf>
    <xf numFmtId="6" fontId="27" fillId="0" borderId="191" xfId="34" applyNumberFormat="1" applyFill="1" applyBorder="1" applyProtection="1">
      <alignment vertical="center"/>
    </xf>
    <xf numFmtId="3" fontId="0" fillId="0" borderId="191" xfId="0" applyNumberFormat="1" applyBorder="1">
      <alignment vertical="center"/>
    </xf>
    <xf numFmtId="0" fontId="0" fillId="0" borderId="190" xfId="0" applyBorder="1" applyAlignment="1">
      <alignment vertical="center" wrapText="1" shrinkToFit="1"/>
    </xf>
    <xf numFmtId="9" fontId="0" fillId="0" borderId="172" xfId="0" applyNumberFormat="1" applyBorder="1" applyAlignment="1">
      <alignment vertical="center" shrinkToFit="1"/>
    </xf>
    <xf numFmtId="191" fontId="25" fillId="0" borderId="191" xfId="0" applyNumberFormat="1" applyFont="1" applyBorder="1">
      <alignment vertical="center"/>
    </xf>
    <xf numFmtId="213" fontId="0" fillId="0" borderId="172" xfId="28" applyNumberFormat="1" applyFont="1" applyBorder="1" applyAlignment="1">
      <alignment vertical="center" shrinkToFit="1"/>
    </xf>
    <xf numFmtId="0" fontId="0" fillId="30" borderId="190" xfId="0" applyFill="1" applyBorder="1">
      <alignment vertical="center"/>
    </xf>
    <xf numFmtId="9" fontId="0" fillId="0" borderId="191" xfId="28" applyFont="1" applyFill="1" applyBorder="1" applyProtection="1">
      <alignment vertical="center"/>
    </xf>
    <xf numFmtId="10" fontId="0" fillId="0" borderId="191" xfId="28" applyNumberFormat="1" applyFont="1" applyFill="1" applyBorder="1" applyProtection="1">
      <alignment vertical="center"/>
    </xf>
    <xf numFmtId="0" fontId="0" fillId="0" borderId="195" xfId="0" applyBorder="1">
      <alignment vertical="center"/>
    </xf>
    <xf numFmtId="0" fontId="0" fillId="0" borderId="196" xfId="0" applyBorder="1">
      <alignment vertical="center"/>
    </xf>
    <xf numFmtId="10" fontId="0" fillId="0" borderId="197" xfId="28" applyNumberFormat="1" applyFont="1" applyFill="1" applyBorder="1" applyProtection="1">
      <alignment vertical="center"/>
    </xf>
    <xf numFmtId="0" fontId="25" fillId="0" borderId="196" xfId="0" applyFont="1" applyBorder="1">
      <alignment vertical="center"/>
    </xf>
    <xf numFmtId="0" fontId="25" fillId="0" borderId="197" xfId="0" applyFont="1" applyBorder="1">
      <alignment vertical="center"/>
    </xf>
    <xf numFmtId="0" fontId="0" fillId="0" borderId="171" xfId="0" applyBorder="1" applyAlignment="1">
      <alignment vertical="center" shrinkToFit="1"/>
    </xf>
    <xf numFmtId="191" fontId="0" fillId="0" borderId="200" xfId="0" applyNumberFormat="1" applyBorder="1" applyAlignment="1">
      <alignment horizontal="center" vertical="center"/>
    </xf>
    <xf numFmtId="0" fontId="0" fillId="0" borderId="198" xfId="0" applyBorder="1" applyAlignment="1">
      <alignment horizontal="center" vertical="center" shrinkToFit="1"/>
    </xf>
    <xf numFmtId="0" fontId="26" fillId="0" borderId="149" xfId="0" applyFont="1" applyBorder="1" applyAlignment="1">
      <alignment horizontal="center" vertical="center" shrinkToFit="1"/>
    </xf>
    <xf numFmtId="9" fontId="27" fillId="0" borderId="169" xfId="28" applyBorder="1">
      <alignment vertical="center"/>
    </xf>
    <xf numFmtId="6" fontId="0" fillId="0" borderId="0" xfId="60" applyFont="1">
      <alignment vertical="center"/>
    </xf>
    <xf numFmtId="0" fontId="25" fillId="0" borderId="172" xfId="0" applyFont="1" applyBorder="1" applyAlignment="1">
      <alignment vertical="center" shrinkToFit="1"/>
    </xf>
    <xf numFmtId="215" fontId="0" fillId="33" borderId="187" xfId="0" applyNumberFormat="1" applyFill="1" applyBorder="1" applyAlignment="1">
      <alignment horizontal="center" vertical="center"/>
    </xf>
    <xf numFmtId="194" fontId="0" fillId="0" borderId="0" xfId="0" applyNumberFormat="1" applyAlignment="1">
      <alignment horizontal="center" vertical="center" shrinkToFit="1"/>
    </xf>
    <xf numFmtId="0" fontId="0" fillId="0" borderId="0" xfId="0" applyAlignment="1">
      <alignment horizontal="center" vertical="center" shrinkToFit="1"/>
    </xf>
    <xf numFmtId="0" fontId="0" fillId="33" borderId="185" xfId="0" applyFill="1" applyBorder="1" applyAlignment="1">
      <alignment vertical="center" shrinkToFit="1"/>
    </xf>
    <xf numFmtId="6" fontId="27" fillId="28" borderId="192" xfId="34" applyNumberFormat="1" applyFill="1" applyBorder="1" applyProtection="1">
      <alignment vertical="center"/>
    </xf>
    <xf numFmtId="191" fontId="0" fillId="0" borderId="201" xfId="0" applyNumberFormat="1" applyBorder="1" applyAlignment="1">
      <alignment vertical="center" shrinkToFit="1"/>
    </xf>
    <xf numFmtId="0" fontId="53" fillId="33" borderId="141" xfId="0" applyFont="1" applyFill="1" applyBorder="1" applyAlignment="1">
      <alignment horizontal="center" vertical="center"/>
    </xf>
    <xf numFmtId="0" fontId="53" fillId="33" borderId="199" xfId="0" applyFont="1" applyFill="1" applyBorder="1" applyAlignment="1">
      <alignment horizontal="center" vertical="center"/>
    </xf>
    <xf numFmtId="219" fontId="0" fillId="0" borderId="201" xfId="0" applyNumberFormat="1" applyBorder="1">
      <alignment vertical="center"/>
    </xf>
    <xf numFmtId="210" fontId="0" fillId="0" borderId="201" xfId="0" applyNumberFormat="1" applyBorder="1">
      <alignment vertical="center"/>
    </xf>
    <xf numFmtId="10" fontId="36" fillId="0" borderId="185" xfId="0" applyNumberFormat="1" applyFont="1" applyBorder="1" applyAlignment="1">
      <alignment horizontal="center" vertical="center" shrinkToFit="1"/>
    </xf>
    <xf numFmtId="212" fontId="36" fillId="0" borderId="182" xfId="0" applyNumberFormat="1" applyFont="1" applyBorder="1" applyAlignment="1">
      <alignment horizontal="center" vertical="center" shrinkToFit="1"/>
    </xf>
    <xf numFmtId="0" fontId="36" fillId="50" borderId="204" xfId="0" applyFont="1" applyFill="1" applyBorder="1" applyAlignment="1">
      <alignment horizontal="center" vertical="center" shrinkToFit="1"/>
    </xf>
    <xf numFmtId="207" fontId="0" fillId="0" borderId="201" xfId="0" applyNumberFormat="1" applyBorder="1" applyAlignment="1">
      <alignment horizontal="center" vertical="center"/>
    </xf>
    <xf numFmtId="38" fontId="0" fillId="0" borderId="173" xfId="34" applyFont="1" applyFill="1" applyBorder="1" applyAlignment="1" applyProtection="1">
      <alignment horizontal="right" vertical="center" shrinkToFit="1"/>
    </xf>
    <xf numFmtId="0" fontId="0" fillId="0" borderId="209" xfId="0" applyBorder="1">
      <alignment vertical="center"/>
    </xf>
    <xf numFmtId="0" fontId="65" fillId="0" borderId="173" xfId="0" applyFont="1" applyBorder="1" applyAlignment="1">
      <alignment vertical="center" shrinkToFit="1"/>
    </xf>
    <xf numFmtId="0" fontId="53" fillId="33" borderId="215" xfId="0" applyFont="1" applyFill="1" applyBorder="1" applyAlignment="1">
      <alignment horizontal="center" vertical="center"/>
    </xf>
    <xf numFmtId="0" fontId="0" fillId="33" borderId="218" xfId="0" applyFill="1" applyBorder="1" applyAlignment="1">
      <alignment horizontal="center" vertical="center"/>
    </xf>
    <xf numFmtId="0" fontId="0" fillId="33" borderId="204" xfId="0" applyFill="1" applyBorder="1" applyAlignment="1">
      <alignment horizontal="center" vertical="center"/>
    </xf>
    <xf numFmtId="220" fontId="0" fillId="0" borderId="221" xfId="0" applyNumberFormat="1" applyBorder="1">
      <alignment vertical="center"/>
    </xf>
    <xf numFmtId="221" fontId="0" fillId="0" borderId="222" xfId="0" applyNumberFormat="1" applyBorder="1">
      <alignment vertical="center"/>
    </xf>
    <xf numFmtId="220" fontId="0" fillId="0" borderId="223" xfId="0" applyNumberFormat="1" applyBorder="1" applyAlignment="1">
      <alignment vertical="center" shrinkToFit="1"/>
    </xf>
    <xf numFmtId="9" fontId="0" fillId="0" borderId="224" xfId="0" applyNumberFormat="1" applyBorder="1">
      <alignment vertical="center"/>
    </xf>
    <xf numFmtId="0" fontId="25" fillId="0" borderId="192" xfId="0" applyFont="1" applyBorder="1">
      <alignment vertical="center"/>
    </xf>
    <xf numFmtId="176" fontId="0" fillId="33" borderId="226" xfId="0" applyNumberFormat="1" applyFill="1" applyBorder="1">
      <alignment vertical="center"/>
    </xf>
    <xf numFmtId="38" fontId="27" fillId="28" borderId="155" xfId="34" applyFill="1" applyBorder="1" applyProtection="1">
      <alignment vertical="center"/>
    </xf>
    <xf numFmtId="38" fontId="27" fillId="28" borderId="220" xfId="34" applyFill="1" applyBorder="1" applyProtection="1">
      <alignment vertical="center"/>
    </xf>
    <xf numFmtId="0" fontId="0" fillId="0" borderId="15" xfId="0" applyBorder="1" applyAlignment="1">
      <alignment vertical="center" shrinkToFit="1"/>
    </xf>
    <xf numFmtId="0" fontId="27" fillId="0" borderId="15" xfId="0" applyFont="1" applyBorder="1">
      <alignment vertical="center"/>
    </xf>
    <xf numFmtId="207" fontId="53" fillId="51" borderId="202" xfId="0" applyNumberFormat="1" applyFont="1" applyFill="1" applyBorder="1">
      <alignment vertical="center"/>
    </xf>
    <xf numFmtId="0" fontId="39" fillId="0" borderId="0" xfId="64" applyFont="1">
      <alignment vertical="center"/>
    </xf>
    <xf numFmtId="0" fontId="5" fillId="0" borderId="232" xfId="64" applyBorder="1">
      <alignment vertical="center"/>
    </xf>
    <xf numFmtId="2" fontId="5" fillId="0" borderId="232" xfId="64" applyNumberFormat="1" applyBorder="1">
      <alignment vertical="center"/>
    </xf>
    <xf numFmtId="10" fontId="5" fillId="0" borderId="232" xfId="64" applyNumberFormat="1" applyBorder="1">
      <alignment vertical="center"/>
    </xf>
    <xf numFmtId="191" fontId="0" fillId="0" borderId="191" xfId="0" applyNumberFormat="1" applyBorder="1">
      <alignment vertical="center"/>
    </xf>
    <xf numFmtId="191" fontId="27" fillId="28" borderId="191" xfId="34" applyNumberFormat="1" applyFill="1" applyBorder="1" applyProtection="1">
      <alignment vertical="center"/>
    </xf>
    <xf numFmtId="9" fontId="27" fillId="0" borderId="191" xfId="34" applyNumberFormat="1" applyFill="1" applyBorder="1" applyProtection="1">
      <alignment vertical="center"/>
    </xf>
    <xf numFmtId="191" fontId="26" fillId="0" borderId="191" xfId="0" applyNumberFormat="1" applyFont="1" applyBorder="1">
      <alignment vertical="center"/>
    </xf>
    <xf numFmtId="230" fontId="62" fillId="44" borderId="150" xfId="0" applyNumberFormat="1" applyFont="1" applyFill="1" applyBorder="1" applyAlignment="1">
      <alignment horizontal="center" vertical="center" shrinkToFit="1"/>
    </xf>
    <xf numFmtId="0" fontId="0" fillId="0" borderId="238" xfId="0" applyBorder="1">
      <alignment vertical="center"/>
    </xf>
    <xf numFmtId="0" fontId="0" fillId="0" borderId="239" xfId="0" applyBorder="1">
      <alignment vertical="center"/>
    </xf>
    <xf numFmtId="38" fontId="27" fillId="0" borderId="240" xfId="34" applyFill="1" applyBorder="1" applyAlignment="1" applyProtection="1">
      <alignment horizontal="right" vertical="center" shrinkToFit="1"/>
    </xf>
    <xf numFmtId="0" fontId="0" fillId="0" borderId="174" xfId="0" applyBorder="1" applyAlignment="1">
      <alignment horizontal="center" vertical="center" shrinkToFit="1"/>
    </xf>
    <xf numFmtId="0" fontId="0" fillId="0" borderId="175" xfId="0" applyBorder="1">
      <alignment vertical="center"/>
    </xf>
    <xf numFmtId="0" fontId="0" fillId="0" borderId="146" xfId="0" applyBorder="1" applyAlignment="1">
      <alignment vertical="center" shrinkToFit="1"/>
    </xf>
    <xf numFmtId="0" fontId="0" fillId="0" borderId="147" xfId="0" applyBorder="1" applyAlignment="1">
      <alignment horizontal="center" vertical="center" shrinkToFit="1"/>
    </xf>
    <xf numFmtId="0" fontId="0" fillId="0" borderId="241" xfId="0" applyBorder="1">
      <alignment vertical="center"/>
    </xf>
    <xf numFmtId="38" fontId="0" fillId="0" borderId="241" xfId="34" applyFont="1" applyFill="1" applyBorder="1" applyAlignment="1" applyProtection="1">
      <alignment horizontal="right" vertical="center" shrinkToFit="1"/>
    </xf>
    <xf numFmtId="0" fontId="0" fillId="0" borderId="241" xfId="0" applyBorder="1" applyAlignment="1">
      <alignment vertical="center" shrinkToFit="1"/>
    </xf>
    <xf numFmtId="0" fontId="0" fillId="0" borderId="241" xfId="0" applyBorder="1" applyAlignment="1">
      <alignment vertical="center" wrapText="1"/>
    </xf>
    <xf numFmtId="38" fontId="27" fillId="0" borderId="241" xfId="34" applyBorder="1">
      <alignment vertical="center"/>
    </xf>
    <xf numFmtId="8" fontId="0" fillId="0" borderId="0" xfId="0" applyNumberFormat="1">
      <alignment vertical="center"/>
    </xf>
    <xf numFmtId="177" fontId="53" fillId="38" borderId="242" xfId="0" applyNumberFormat="1" applyFont="1" applyFill="1" applyBorder="1" applyAlignment="1">
      <alignment vertical="center" shrinkToFit="1"/>
    </xf>
    <xf numFmtId="177" fontId="53" fillId="0" borderId="0" xfId="0" applyNumberFormat="1" applyFont="1" applyAlignment="1">
      <alignment vertical="center" shrinkToFit="1"/>
    </xf>
    <xf numFmtId="177" fontId="36" fillId="0" borderId="0" xfId="0" applyNumberFormat="1" applyFont="1" applyAlignment="1">
      <alignment vertical="center" shrinkToFit="1"/>
    </xf>
    <xf numFmtId="40" fontId="29" fillId="33" borderId="185" xfId="34" applyNumberFormat="1" applyFont="1" applyFill="1" applyBorder="1" applyProtection="1">
      <alignment vertical="center"/>
    </xf>
    <xf numFmtId="8" fontId="25" fillId="0" borderId="191" xfId="0" applyNumberFormat="1" applyFont="1" applyBorder="1">
      <alignment vertical="center"/>
    </xf>
    <xf numFmtId="8" fontId="25" fillId="0" borderId="0" xfId="0" applyNumberFormat="1" applyFont="1">
      <alignment vertical="center"/>
    </xf>
    <xf numFmtId="191" fontId="27" fillId="0" borderId="191" xfId="34" applyNumberFormat="1" applyFill="1" applyBorder="1" applyProtection="1">
      <alignment vertical="center"/>
    </xf>
    <xf numFmtId="191" fontId="53" fillId="4" borderId="14" xfId="0" applyNumberFormat="1" applyFont="1" applyFill="1" applyBorder="1" applyAlignment="1">
      <alignment horizontal="left" vertical="center" shrinkToFit="1"/>
    </xf>
    <xf numFmtId="191" fontId="53" fillId="0" borderId="11" xfId="0" applyNumberFormat="1" applyFont="1" applyBorder="1" applyAlignment="1">
      <alignment vertical="center" shrinkToFit="1"/>
    </xf>
    <xf numFmtId="6" fontId="27" fillId="53" borderId="173" xfId="34" applyNumberFormat="1" applyFill="1" applyBorder="1" applyProtection="1">
      <alignment vertical="center"/>
    </xf>
    <xf numFmtId="6" fontId="27" fillId="35" borderId="173" xfId="34" applyNumberFormat="1" applyFill="1" applyBorder="1" applyProtection="1">
      <alignment vertical="center"/>
    </xf>
    <xf numFmtId="9" fontId="0" fillId="0" borderId="241" xfId="0" applyNumberFormat="1" applyBorder="1">
      <alignment vertical="center"/>
    </xf>
    <xf numFmtId="191" fontId="0" fillId="0" borderId="241" xfId="0" applyNumberFormat="1" applyBorder="1">
      <alignment vertical="center"/>
    </xf>
    <xf numFmtId="211" fontId="0" fillId="0" borderId="241" xfId="0" applyNumberFormat="1" applyBorder="1">
      <alignment vertical="center"/>
    </xf>
    <xf numFmtId="191" fontId="0" fillId="0" borderId="0" xfId="0" applyNumberFormat="1">
      <alignment vertical="center"/>
    </xf>
    <xf numFmtId="6" fontId="0" fillId="0" borderId="241" xfId="0" applyNumberFormat="1" applyBorder="1">
      <alignment vertical="center"/>
    </xf>
    <xf numFmtId="38" fontId="0" fillId="0" borderId="241" xfId="0" applyNumberFormat="1" applyBorder="1">
      <alignment vertical="center"/>
    </xf>
    <xf numFmtId="10" fontId="0" fillId="0" borderId="0" xfId="0" applyNumberFormat="1">
      <alignment vertical="center"/>
    </xf>
    <xf numFmtId="0" fontId="0" fillId="0" borderId="152" xfId="0" applyBorder="1" applyAlignment="1">
      <alignment vertical="center" shrinkToFit="1"/>
    </xf>
    <xf numFmtId="10" fontId="52" fillId="49" borderId="153" xfId="34" applyNumberFormat="1" applyFont="1" applyFill="1" applyBorder="1" applyAlignment="1" applyProtection="1">
      <alignment horizontal="center" vertical="center" shrinkToFit="1"/>
    </xf>
    <xf numFmtId="214" fontId="0" fillId="0" borderId="241" xfId="0" applyNumberFormat="1" applyBorder="1">
      <alignment vertical="center"/>
    </xf>
    <xf numFmtId="0" fontId="25" fillId="0" borderId="94" xfId="0" applyFont="1" applyBorder="1" applyAlignment="1">
      <alignment horizontal="center" vertical="center" wrapText="1" shrinkToFit="1"/>
    </xf>
    <xf numFmtId="207" fontId="0" fillId="0" borderId="241" xfId="0" applyNumberFormat="1" applyBorder="1">
      <alignment vertical="center"/>
    </xf>
    <xf numFmtId="6" fontId="27" fillId="28" borderId="241" xfId="34" applyNumberFormat="1" applyFill="1" applyBorder="1" applyProtection="1">
      <alignment vertical="center"/>
    </xf>
    <xf numFmtId="0" fontId="0" fillId="0" borderId="94" xfId="0" applyBorder="1" applyAlignment="1">
      <alignment horizontal="center" vertical="center"/>
    </xf>
    <xf numFmtId="0" fontId="0" fillId="33" borderId="241" xfId="0" applyFill="1" applyBorder="1">
      <alignment vertical="center"/>
    </xf>
    <xf numFmtId="0" fontId="25" fillId="33" borderId="241" xfId="0" applyFont="1" applyFill="1" applyBorder="1">
      <alignment vertical="center"/>
    </xf>
    <xf numFmtId="0" fontId="0" fillId="33" borderId="20" xfId="0" applyFill="1" applyBorder="1">
      <alignment vertical="center"/>
    </xf>
    <xf numFmtId="0" fontId="0" fillId="0" borderId="20" xfId="0" applyBorder="1" applyAlignment="1">
      <alignment vertical="center" shrinkToFit="1"/>
    </xf>
    <xf numFmtId="6" fontId="0" fillId="0" borderId="0" xfId="0" applyNumberFormat="1" applyAlignment="1">
      <alignment horizontal="left" vertical="center"/>
    </xf>
    <xf numFmtId="0" fontId="2" fillId="0" borderId="0" xfId="65">
      <alignment vertical="center"/>
    </xf>
    <xf numFmtId="0" fontId="66" fillId="0" borderId="0" xfId="62">
      <alignment vertical="center"/>
    </xf>
    <xf numFmtId="0" fontId="67" fillId="0" borderId="228" xfId="65" applyFont="1" applyBorder="1">
      <alignment vertical="center"/>
    </xf>
    <xf numFmtId="0" fontId="2" fillId="32" borderId="229" xfId="65" applyFill="1" applyBorder="1" applyAlignment="1">
      <alignment horizontal="center" vertical="center"/>
    </xf>
    <xf numFmtId="55" fontId="2" fillId="32" borderId="229" xfId="65" applyNumberFormat="1" applyFill="1" applyBorder="1" applyAlignment="1">
      <alignment horizontal="center" vertical="center" shrinkToFit="1"/>
    </xf>
    <xf numFmtId="0" fontId="2" fillId="0" borderId="230" xfId="65" applyBorder="1">
      <alignment vertical="center"/>
    </xf>
    <xf numFmtId="0" fontId="67" fillId="0" borderId="231" xfId="65" applyFont="1" applyBorder="1" applyAlignment="1">
      <alignment horizontal="center" vertical="center"/>
    </xf>
    <xf numFmtId="0" fontId="2" fillId="52" borderId="232" xfId="65" applyFill="1" applyBorder="1" applyAlignment="1">
      <alignment vertical="center" wrapText="1"/>
    </xf>
    <xf numFmtId="0" fontId="2" fillId="0" borderId="232" xfId="65" applyBorder="1" applyAlignment="1">
      <alignment vertical="center" shrinkToFit="1"/>
    </xf>
    <xf numFmtId="0" fontId="2" fillId="0" borderId="233" xfId="65" applyBorder="1">
      <alignment vertical="center"/>
    </xf>
    <xf numFmtId="0" fontId="2" fillId="0" borderId="234" xfId="65" applyBorder="1">
      <alignment vertical="center"/>
    </xf>
    <xf numFmtId="232" fontId="2" fillId="0" borderId="232" xfId="65" applyNumberFormat="1" applyBorder="1" applyAlignment="1">
      <alignment vertical="center" shrinkToFit="1"/>
    </xf>
    <xf numFmtId="0" fontId="68" fillId="52" borderId="232" xfId="65" applyFont="1" applyFill="1" applyBorder="1" applyAlignment="1">
      <alignment vertical="center" wrapText="1"/>
    </xf>
    <xf numFmtId="220" fontId="2" fillId="0" borderId="232" xfId="65" applyNumberFormat="1" applyBorder="1" applyAlignment="1">
      <alignment vertical="center" shrinkToFit="1"/>
    </xf>
    <xf numFmtId="222" fontId="2" fillId="0" borderId="232" xfId="65" applyNumberFormat="1" applyBorder="1" applyAlignment="1">
      <alignment vertical="center" shrinkToFit="1"/>
    </xf>
    <xf numFmtId="221" fontId="2" fillId="0" borderId="232" xfId="65" applyNumberFormat="1" applyBorder="1" applyAlignment="1">
      <alignment vertical="center" shrinkToFit="1"/>
    </xf>
    <xf numFmtId="223" fontId="2" fillId="0" borderId="232" xfId="65" applyNumberFormat="1" applyBorder="1" applyAlignment="1">
      <alignment vertical="center" shrinkToFit="1"/>
    </xf>
    <xf numFmtId="223" fontId="2" fillId="32" borderId="232" xfId="66" applyNumberFormat="1" applyFont="1" applyFill="1" applyBorder="1" applyAlignment="1">
      <alignment vertical="center" shrinkToFit="1"/>
    </xf>
    <xf numFmtId="224" fontId="2" fillId="0" borderId="235" xfId="66" applyNumberFormat="1" applyFont="1" applyFill="1" applyBorder="1" applyAlignment="1">
      <alignment vertical="center" shrinkToFit="1"/>
    </xf>
    <xf numFmtId="0" fontId="2" fillId="0" borderId="236" xfId="65" applyBorder="1" applyAlignment="1">
      <alignment vertical="center" wrapText="1"/>
    </xf>
    <xf numFmtId="0" fontId="67" fillId="0" borderId="145" xfId="65" applyFont="1" applyBorder="1" applyAlignment="1">
      <alignment horizontal="center" vertical="center"/>
    </xf>
    <xf numFmtId="0" fontId="2" fillId="52" borderId="237" xfId="65" applyFill="1" applyBorder="1" applyAlignment="1">
      <alignment vertical="center" wrapText="1"/>
    </xf>
    <xf numFmtId="185" fontId="3" fillId="0" borderId="237" xfId="65" applyNumberFormat="1" applyFont="1" applyBorder="1" applyAlignment="1">
      <alignment vertical="center" shrinkToFit="1"/>
    </xf>
    <xf numFmtId="225" fontId="69" fillId="0" borderId="0" xfId="65" applyNumberFormat="1" applyFont="1" applyAlignment="1">
      <alignment vertical="center" shrinkToFit="1"/>
    </xf>
    <xf numFmtId="0" fontId="2" fillId="52" borderId="228" xfId="65" applyFill="1" applyBorder="1" applyAlignment="1">
      <alignment vertical="center" wrapText="1" shrinkToFit="1"/>
    </xf>
    <xf numFmtId="0" fontId="2" fillId="52" borderId="231" xfId="65" applyFill="1" applyBorder="1" applyAlignment="1">
      <alignment vertical="center" wrapText="1" shrinkToFit="1"/>
    </xf>
    <xf numFmtId="227" fontId="42" fillId="0" borderId="234" xfId="65" applyNumberFormat="1" applyFont="1" applyBorder="1" applyAlignment="1">
      <alignment vertical="center" shrinkToFit="1"/>
    </xf>
    <xf numFmtId="0" fontId="2" fillId="55" borderId="232" xfId="65" applyFill="1" applyBorder="1" applyAlignment="1">
      <alignment horizontal="center" vertical="center"/>
    </xf>
    <xf numFmtId="0" fontId="2" fillId="0" borderId="232" xfId="65" applyBorder="1" applyAlignment="1">
      <alignment horizontal="center" vertical="center"/>
    </xf>
    <xf numFmtId="10" fontId="2" fillId="0" borderId="232" xfId="65" applyNumberFormat="1" applyBorder="1">
      <alignment vertical="center"/>
    </xf>
    <xf numFmtId="221" fontId="2" fillId="0" borderId="232" xfId="65" applyNumberFormat="1" applyBorder="1">
      <alignment vertical="center"/>
    </xf>
    <xf numFmtId="191" fontId="33" fillId="0" borderId="0" xfId="65" applyNumberFormat="1" applyFont="1">
      <alignment vertical="center"/>
    </xf>
    <xf numFmtId="0" fontId="2" fillId="52" borderId="231" xfId="65" applyFill="1" applyBorder="1">
      <alignment vertical="center"/>
    </xf>
    <xf numFmtId="0" fontId="2" fillId="52" borderId="145" xfId="65" applyFill="1" applyBorder="1" applyAlignment="1">
      <alignment vertical="center" wrapText="1" shrinkToFit="1"/>
    </xf>
    <xf numFmtId="0" fontId="3" fillId="0" borderId="0" xfId="65" applyFont="1">
      <alignment vertical="center"/>
    </xf>
    <xf numFmtId="0" fontId="69" fillId="0" borderId="0" xfId="65" applyFont="1" applyAlignment="1">
      <alignment horizontal="left" vertical="center"/>
    </xf>
    <xf numFmtId="191" fontId="2" fillId="0" borderId="0" xfId="65" applyNumberFormat="1">
      <alignment vertical="center"/>
    </xf>
    <xf numFmtId="231" fontId="36" fillId="0" borderId="205" xfId="0" applyNumberFormat="1" applyFont="1" applyBorder="1" applyAlignment="1">
      <alignment horizontal="center" vertical="center"/>
    </xf>
    <xf numFmtId="0" fontId="33" fillId="50" borderId="227" xfId="0" applyFont="1" applyFill="1" applyBorder="1" applyAlignment="1">
      <alignment horizontal="center" vertical="center" shrinkToFit="1"/>
    </xf>
    <xf numFmtId="6" fontId="27" fillId="0" borderId="226" xfId="34" applyNumberFormat="1" applyFill="1" applyBorder="1" applyProtection="1">
      <alignment vertical="center"/>
    </xf>
    <xf numFmtId="6" fontId="27" fillId="0" borderId="220" xfId="34" applyNumberFormat="1" applyFill="1" applyBorder="1" applyProtection="1">
      <alignment vertical="center"/>
    </xf>
    <xf numFmtId="6" fontId="27" fillId="0" borderId="57" xfId="34" applyNumberFormat="1" applyFill="1" applyBorder="1" applyProtection="1">
      <alignment vertical="center"/>
    </xf>
    <xf numFmtId="6" fontId="27" fillId="0" borderId="241" xfId="34" applyNumberFormat="1" applyFill="1" applyBorder="1" applyProtection="1">
      <alignment vertical="center"/>
    </xf>
    <xf numFmtId="6" fontId="27" fillId="54" borderId="241" xfId="34" applyNumberFormat="1" applyFill="1" applyBorder="1" applyProtection="1">
      <alignment vertical="center"/>
    </xf>
    <xf numFmtId="6" fontId="27" fillId="54" borderId="155" xfId="34" applyNumberFormat="1" applyFill="1" applyBorder="1" applyProtection="1">
      <alignment vertical="center"/>
    </xf>
    <xf numFmtId="38" fontId="27" fillId="0" borderId="241" xfId="34" applyFill="1" applyBorder="1" applyProtection="1">
      <alignment vertical="center"/>
    </xf>
    <xf numFmtId="38" fontId="27" fillId="0" borderId="155" xfId="34" applyFill="1" applyBorder="1" applyProtection="1">
      <alignment vertical="center"/>
    </xf>
    <xf numFmtId="198" fontId="0" fillId="0" borderId="225" xfId="0" applyNumberFormat="1" applyBorder="1" applyAlignment="1">
      <alignment vertical="center" shrinkToFit="1"/>
    </xf>
    <xf numFmtId="219" fontId="36" fillId="0" borderId="207" xfId="0" applyNumberFormat="1" applyFont="1" applyBorder="1">
      <alignment vertical="center"/>
    </xf>
    <xf numFmtId="9" fontId="36" fillId="0" borderId="208" xfId="0" applyNumberFormat="1" applyFont="1" applyBorder="1" applyAlignment="1">
      <alignment horizontal="center" vertical="center"/>
    </xf>
    <xf numFmtId="220" fontId="0" fillId="51" borderId="170" xfId="0" applyNumberFormat="1" applyFill="1" applyBorder="1">
      <alignment vertical="center"/>
    </xf>
    <xf numFmtId="9" fontId="49" fillId="0" borderId="179" xfId="0" applyNumberFormat="1" applyFont="1" applyBorder="1" applyAlignment="1">
      <alignment horizontal="center" vertical="center"/>
    </xf>
    <xf numFmtId="198" fontId="0" fillId="0" borderId="82" xfId="0" applyNumberFormat="1" applyBorder="1" applyAlignment="1">
      <alignment horizontal="center" vertical="center" shrinkToFit="1"/>
    </xf>
    <xf numFmtId="0" fontId="77" fillId="0" borderId="0" xfId="67">
      <alignment vertical="center"/>
    </xf>
    <xf numFmtId="0" fontId="0" fillId="0" borderId="172" xfId="0" applyBorder="1" applyAlignment="1">
      <alignment horizontal="center" vertical="center" shrinkToFit="1"/>
    </xf>
    <xf numFmtId="0" fontId="25" fillId="0" borderId="190" xfId="0" applyFont="1" applyBorder="1" applyAlignment="1">
      <alignment horizontal="center" vertical="center"/>
    </xf>
    <xf numFmtId="0" fontId="25" fillId="0" borderId="191" xfId="0" applyFont="1" applyBorder="1" applyAlignment="1">
      <alignment horizontal="center" vertical="center"/>
    </xf>
    <xf numFmtId="38" fontId="27" fillId="0" borderId="190" xfId="34" applyBorder="1">
      <alignment vertical="center"/>
    </xf>
    <xf numFmtId="0" fontId="26" fillId="0" borderId="228" xfId="0" applyFont="1" applyBorder="1" applyAlignment="1">
      <alignment vertical="center" wrapText="1"/>
    </xf>
    <xf numFmtId="0" fontId="0" fillId="0" borderId="229" xfId="0" applyBorder="1">
      <alignment vertical="center"/>
    </xf>
    <xf numFmtId="0" fontId="0" fillId="0" borderId="230" xfId="0" applyBorder="1" applyAlignment="1">
      <alignment horizontal="center" vertical="center" shrinkToFit="1"/>
    </xf>
    <xf numFmtId="10" fontId="0" fillId="0" borderId="244" xfId="0" applyNumberFormat="1" applyBorder="1">
      <alignment vertical="center"/>
    </xf>
    <xf numFmtId="191" fontId="0" fillId="35" borderId="245" xfId="0" applyNumberFormat="1" applyFill="1" applyBorder="1" applyAlignment="1">
      <alignment horizontal="center" vertical="center"/>
    </xf>
    <xf numFmtId="6" fontId="27" fillId="51" borderId="173" xfId="34" applyNumberFormat="1" applyFill="1" applyBorder="1" applyProtection="1">
      <alignment vertical="center"/>
    </xf>
    <xf numFmtId="191" fontId="0" fillId="51" borderId="191" xfId="0" applyNumberFormat="1" applyFill="1" applyBorder="1">
      <alignment vertical="center"/>
    </xf>
    <xf numFmtId="0" fontId="0" fillId="51" borderId="243" xfId="0" applyFill="1" applyBorder="1" applyAlignment="1">
      <alignment horizontal="center" vertical="center"/>
    </xf>
    <xf numFmtId="10" fontId="0" fillId="51" borderId="244" xfId="0" applyNumberFormat="1" applyFill="1" applyBorder="1">
      <alignment vertical="center"/>
    </xf>
    <xf numFmtId="9" fontId="27" fillId="0" borderId="172" xfId="28" applyBorder="1" applyAlignment="1">
      <alignment horizontal="center" vertical="center"/>
    </xf>
    <xf numFmtId="6" fontId="27" fillId="0" borderId="144" xfId="34" applyNumberFormat="1" applyFill="1" applyBorder="1" applyProtection="1">
      <alignment vertical="center"/>
    </xf>
    <xf numFmtId="191" fontId="25" fillId="0" borderId="191" xfId="0" applyNumberFormat="1" applyFont="1" applyBorder="1" applyAlignment="1">
      <alignment horizontal="right" vertical="center"/>
    </xf>
    <xf numFmtId="176" fontId="27" fillId="0" borderId="172" xfId="28" applyNumberFormat="1" applyBorder="1" applyAlignment="1">
      <alignment horizontal="left" vertical="center"/>
    </xf>
    <xf numFmtId="217" fontId="53" fillId="38" borderId="211" xfId="0" applyNumberFormat="1" applyFont="1" applyFill="1" applyBorder="1" applyAlignment="1">
      <alignment horizontal="center" vertical="center"/>
    </xf>
    <xf numFmtId="216" fontId="53" fillId="38" borderId="213" xfId="0" applyNumberFormat="1" applyFont="1" applyFill="1" applyBorder="1" applyAlignment="1">
      <alignment horizontal="center" vertical="center"/>
    </xf>
    <xf numFmtId="208" fontId="0" fillId="38" borderId="219" xfId="0" applyNumberFormat="1" applyFill="1" applyBorder="1" applyAlignment="1">
      <alignment horizontal="center" vertical="center"/>
    </xf>
    <xf numFmtId="220" fontId="0" fillId="38" borderId="201" xfId="0" applyNumberFormat="1" applyFill="1" applyBorder="1">
      <alignment vertical="center"/>
    </xf>
    <xf numFmtId="9" fontId="27" fillId="56" borderId="173" xfId="34" applyNumberFormat="1" applyFill="1" applyBorder="1" applyProtection="1">
      <alignment vertical="center"/>
    </xf>
    <xf numFmtId="226" fontId="42" fillId="51" borderId="230" xfId="65" applyNumberFormat="1" applyFont="1" applyFill="1" applyBorder="1" applyAlignment="1">
      <alignment vertical="center" shrinkToFit="1"/>
    </xf>
    <xf numFmtId="228" fontId="42" fillId="51" borderId="234" xfId="65" applyNumberFormat="1" applyFont="1" applyFill="1" applyBorder="1" applyAlignment="1">
      <alignment vertical="center" shrinkToFit="1"/>
    </xf>
    <xf numFmtId="229" fontId="42" fillId="51" borderId="182" xfId="65" applyNumberFormat="1" applyFont="1" applyFill="1" applyBorder="1" applyAlignment="1">
      <alignment horizontal="center" vertical="center" shrinkToFit="1"/>
    </xf>
    <xf numFmtId="222" fontId="2" fillId="51" borderId="232" xfId="65" applyNumberFormat="1" applyFill="1" applyBorder="1" applyAlignment="1">
      <alignment vertical="center" shrinkToFit="1"/>
    </xf>
    <xf numFmtId="232" fontId="2" fillId="51" borderId="232" xfId="65" applyNumberFormat="1" applyFill="1" applyBorder="1" applyAlignment="1">
      <alignment vertical="center" shrinkToFit="1"/>
    </xf>
    <xf numFmtId="218" fontId="36" fillId="38" borderId="205" xfId="0" applyNumberFormat="1" applyFont="1" applyFill="1" applyBorder="1">
      <alignment vertical="center"/>
    </xf>
    <xf numFmtId="38" fontId="27" fillId="38" borderId="173" xfId="34" applyFill="1" applyBorder="1" applyProtection="1">
      <alignment vertical="center"/>
    </xf>
    <xf numFmtId="38" fontId="27" fillId="57" borderId="173" xfId="34" applyFill="1" applyBorder="1" applyAlignment="1" applyProtection="1">
      <alignment horizontal="right" vertical="center"/>
    </xf>
    <xf numFmtId="203" fontId="55" fillId="44" borderId="201" xfId="0" applyNumberFormat="1" applyFont="1" applyFill="1" applyBorder="1" applyAlignment="1">
      <alignment horizontal="center" vertical="center" shrinkToFit="1"/>
    </xf>
    <xf numFmtId="191" fontId="36" fillId="0" borderId="201" xfId="0" applyNumberFormat="1" applyFont="1" applyBorder="1" applyAlignment="1">
      <alignment vertical="center" shrinkToFit="1"/>
    </xf>
    <xf numFmtId="10" fontId="79" fillId="44" borderId="201" xfId="0" applyNumberFormat="1" applyFont="1" applyFill="1" applyBorder="1" applyAlignment="1">
      <alignment horizontal="center" vertical="center" shrinkToFit="1"/>
    </xf>
    <xf numFmtId="10" fontId="52" fillId="42" borderId="155" xfId="34" applyNumberFormat="1" applyFont="1" applyFill="1" applyBorder="1" applyAlignment="1" applyProtection="1">
      <alignment horizontal="center" vertical="center" shrinkToFit="1"/>
    </xf>
    <xf numFmtId="212" fontId="0" fillId="42" borderId="201" xfId="0" applyNumberFormat="1" applyFill="1" applyBorder="1" applyAlignment="1">
      <alignment vertical="center" shrinkToFit="1"/>
    </xf>
    <xf numFmtId="192" fontId="27" fillId="56" borderId="191" xfId="34" applyNumberFormat="1" applyFill="1" applyBorder="1" applyProtection="1">
      <alignment vertical="center"/>
    </xf>
    <xf numFmtId="0" fontId="1" fillId="0" borderId="151" xfId="65" applyFont="1" applyBorder="1" applyAlignment="1">
      <alignment horizontal="center" vertical="center"/>
    </xf>
    <xf numFmtId="185" fontId="3" fillId="0" borderId="246" xfId="65" applyNumberFormat="1" applyFont="1" applyBorder="1" applyAlignment="1">
      <alignment vertical="center" shrinkToFit="1"/>
    </xf>
    <xf numFmtId="0" fontId="71" fillId="0" borderId="247" xfId="65" applyFont="1" applyBorder="1">
      <alignment vertical="center"/>
    </xf>
    <xf numFmtId="0" fontId="71" fillId="0" borderId="248" xfId="65" applyFont="1" applyBorder="1" applyAlignment="1">
      <alignment vertical="center" wrapText="1"/>
    </xf>
    <xf numFmtId="185" fontId="3" fillId="0" borderId="82" xfId="65" applyNumberFormat="1" applyFont="1" applyBorder="1" applyAlignment="1">
      <alignment vertical="center" shrinkToFit="1"/>
    </xf>
    <xf numFmtId="38" fontId="70" fillId="0" borderId="237" xfId="66" applyFont="1" applyFill="1" applyBorder="1" applyAlignment="1">
      <alignment vertical="center" shrinkToFit="1"/>
    </xf>
    <xf numFmtId="233" fontId="2" fillId="0" borderId="234" xfId="65" applyNumberFormat="1" applyBorder="1">
      <alignment vertical="center"/>
    </xf>
    <xf numFmtId="0" fontId="0" fillId="51" borderId="244" xfId="0" applyFill="1" applyBorder="1" applyAlignment="1">
      <alignment horizontal="center" vertical="center"/>
    </xf>
    <xf numFmtId="0" fontId="64" fillId="51" borderId="229" xfId="65" applyFont="1" applyFill="1" applyBorder="1">
      <alignment vertical="center"/>
    </xf>
    <xf numFmtId="9" fontId="36" fillId="0" borderId="249" xfId="28" applyFont="1" applyBorder="1">
      <alignment vertical="center"/>
    </xf>
    <xf numFmtId="38" fontId="54" fillId="35" borderId="227" xfId="34" applyFont="1" applyFill="1" applyBorder="1">
      <alignment vertical="center"/>
    </xf>
    <xf numFmtId="178" fontId="27" fillId="51" borderId="173" xfId="34" applyNumberFormat="1" applyFill="1" applyBorder="1" applyProtection="1">
      <alignment vertical="center"/>
    </xf>
    <xf numFmtId="0" fontId="0" fillId="0" borderId="203" xfId="0" applyBorder="1" applyAlignment="1">
      <alignment horizontal="center" vertical="center"/>
    </xf>
    <xf numFmtId="0" fontId="64" fillId="50" borderId="65" xfId="0" applyFont="1" applyFill="1" applyBorder="1" applyAlignment="1">
      <alignment horizontal="center" vertical="center"/>
    </xf>
    <xf numFmtId="0" fontId="62" fillId="50" borderId="206" xfId="0" applyFont="1" applyFill="1" applyBorder="1" applyAlignment="1">
      <alignment horizontal="center" vertical="center"/>
    </xf>
    <xf numFmtId="38" fontId="0" fillId="33" borderId="152" xfId="34" applyFont="1" applyFill="1" applyBorder="1" applyAlignment="1" applyProtection="1">
      <alignment horizontal="center" vertical="center" shrinkToFit="1"/>
    </xf>
    <xf numFmtId="38" fontId="27" fillId="33" borderId="152" xfId="34" applyFill="1" applyBorder="1" applyAlignment="1" applyProtection="1">
      <alignment horizontal="center" vertical="center" shrinkToFit="1"/>
    </xf>
    <xf numFmtId="0" fontId="50" fillId="38" borderId="176" xfId="0" applyFont="1" applyFill="1" applyBorder="1" applyAlignment="1">
      <alignment horizontal="center" vertical="center"/>
    </xf>
    <xf numFmtId="0" fontId="50" fillId="38" borderId="177" xfId="0" applyFont="1" applyFill="1" applyBorder="1" applyAlignment="1">
      <alignment horizontal="center" vertical="center"/>
    </xf>
    <xf numFmtId="0" fontId="49" fillId="0" borderId="176" xfId="0" applyFont="1" applyBorder="1" applyAlignment="1">
      <alignment horizontal="center" vertical="center"/>
    </xf>
    <xf numFmtId="0" fontId="49" fillId="0" borderId="178" xfId="0" applyFont="1" applyBorder="1" applyAlignment="1">
      <alignment horizontal="center" vertical="center"/>
    </xf>
    <xf numFmtId="0" fontId="0" fillId="0" borderId="169" xfId="0" applyBorder="1" applyAlignment="1">
      <alignment horizontal="center" vertical="center" shrinkToFit="1"/>
    </xf>
    <xf numFmtId="0" fontId="0" fillId="0" borderId="161" xfId="0" applyBorder="1" applyAlignment="1">
      <alignment horizontal="center" vertical="center" shrinkToFit="1"/>
    </xf>
    <xf numFmtId="0" fontId="63" fillId="33" borderId="202" xfId="0" applyFont="1" applyFill="1" applyBorder="1" applyAlignment="1">
      <alignment horizontal="center" vertical="center"/>
    </xf>
    <xf numFmtId="0" fontId="62" fillId="33" borderId="212" xfId="0" applyFont="1" applyFill="1" applyBorder="1" applyAlignment="1">
      <alignment horizontal="center" vertical="center" wrapText="1"/>
    </xf>
    <xf numFmtId="0" fontId="62" fillId="33" borderId="214" xfId="0" applyFont="1" applyFill="1" applyBorder="1" applyAlignment="1">
      <alignment horizontal="center" vertical="center"/>
    </xf>
    <xf numFmtId="0" fontId="36" fillId="0" borderId="209" xfId="0" applyFont="1" applyBorder="1" applyAlignment="1">
      <alignment horizontal="left" vertical="center" wrapText="1"/>
    </xf>
    <xf numFmtId="0" fontId="36" fillId="0" borderId="216" xfId="0" applyFont="1" applyBorder="1" applyAlignment="1">
      <alignment horizontal="left" vertical="center" wrapText="1"/>
    </xf>
    <xf numFmtId="0" fontId="36" fillId="0" borderId="210" xfId="0" applyFont="1" applyBorder="1" applyAlignment="1">
      <alignment horizontal="left" vertical="center" wrapText="1"/>
    </xf>
    <xf numFmtId="0" fontId="36" fillId="0" borderId="217" xfId="0" applyFont="1" applyBorder="1" applyAlignment="1">
      <alignment horizontal="left" vertical="center" wrapText="1"/>
    </xf>
    <xf numFmtId="0" fontId="5" fillId="0" borderId="232" xfId="64" applyBorder="1" applyAlignment="1">
      <alignment horizontal="left" vertical="center"/>
    </xf>
    <xf numFmtId="0" fontId="2" fillId="0" borderId="0" xfId="65" applyAlignment="1">
      <alignment horizontal="center" vertical="center" shrinkToFit="1"/>
    </xf>
    <xf numFmtId="0" fontId="2" fillId="0" borderId="0" xfId="65" applyAlignment="1">
      <alignment horizontal="right" vertical="center"/>
    </xf>
    <xf numFmtId="0" fontId="39" fillId="55" borderId="232" xfId="64" applyFont="1" applyFill="1" applyBorder="1" applyAlignment="1">
      <alignment horizontal="center" vertical="center"/>
    </xf>
    <xf numFmtId="0" fontId="3" fillId="0" borderId="0" xfId="65" applyFont="1" applyAlignment="1">
      <alignment horizontal="left" vertical="top" wrapText="1"/>
    </xf>
    <xf numFmtId="0" fontId="53" fillId="42" borderId="11" xfId="0" applyFont="1" applyFill="1" applyBorder="1" applyAlignment="1">
      <alignment horizontal="left" vertical="center" shrinkToFit="1"/>
    </xf>
    <xf numFmtId="0" fontId="53" fillId="42" borderId="12" xfId="0" applyFont="1" applyFill="1" applyBorder="1" applyAlignment="1">
      <alignment horizontal="left" vertical="center" shrinkToFit="1"/>
    </xf>
    <xf numFmtId="0" fontId="53" fillId="30" borderId="10" xfId="0" applyFont="1" applyFill="1" applyBorder="1" applyAlignment="1">
      <alignment horizontal="left" vertical="center" shrinkToFit="1"/>
    </xf>
    <xf numFmtId="0" fontId="53" fillId="41" borderId="10" xfId="0" applyFont="1" applyFill="1" applyBorder="1" applyAlignment="1">
      <alignment horizontal="left" vertical="center" shrinkToFit="1"/>
    </xf>
    <xf numFmtId="0" fontId="52" fillId="4" borderId="13" xfId="0" applyFont="1" applyFill="1" applyBorder="1" applyAlignment="1">
      <alignment horizontal="left" vertical="center" shrinkToFit="1"/>
    </xf>
    <xf numFmtId="0" fontId="52" fillId="3" borderId="13" xfId="0" applyFont="1" applyFill="1" applyBorder="1" applyAlignment="1">
      <alignment horizontal="left" vertical="center" shrinkToFit="1"/>
    </xf>
    <xf numFmtId="0" fontId="0" fillId="42" borderId="169" xfId="0" applyFill="1" applyBorder="1" applyAlignment="1">
      <alignment horizontal="center" vertical="center" wrapText="1" shrinkToFit="1"/>
    </xf>
    <xf numFmtId="204" fontId="37" fillId="44" borderId="169" xfId="0" applyNumberFormat="1" applyFont="1" applyFill="1" applyBorder="1" applyAlignment="1">
      <alignment horizontal="center" vertical="center" shrinkToFit="1"/>
    </xf>
    <xf numFmtId="0" fontId="55" fillId="0" borderId="201" xfId="0" applyFont="1" applyBorder="1" applyAlignment="1">
      <alignment horizontal="center" vertical="center" shrinkToFit="1"/>
    </xf>
    <xf numFmtId="0" fontId="53" fillId="33" borderId="10" xfId="0" applyFont="1" applyFill="1" applyBorder="1" applyAlignment="1">
      <alignment horizontal="left" vertical="center" shrinkToFit="1"/>
    </xf>
    <xf numFmtId="0" fontId="53" fillId="0" borderId="10" xfId="0" applyFont="1" applyBorder="1" applyAlignment="1">
      <alignment horizontal="left" vertical="center" shrinkToFit="1"/>
    </xf>
    <xf numFmtId="0" fontId="53" fillId="30" borderId="173" xfId="0" applyFont="1" applyFill="1" applyBorder="1" applyAlignment="1">
      <alignment horizontal="left" vertical="center" shrinkToFit="1"/>
    </xf>
    <xf numFmtId="0" fontId="0" fillId="0" borderId="153" xfId="0" applyBorder="1" applyAlignment="1">
      <alignment horizontal="left" vertical="center" shrinkToFit="1"/>
    </xf>
    <xf numFmtId="0" fontId="29" fillId="49" borderId="173" xfId="0" applyFont="1" applyFill="1" applyBorder="1" applyAlignment="1">
      <alignment horizontal="center" vertical="center" shrinkToFit="1"/>
    </xf>
    <xf numFmtId="0" fontId="29" fillId="49" borderId="153" xfId="0" applyFont="1" applyFill="1" applyBorder="1" applyAlignment="1">
      <alignment horizontal="center" vertical="center" shrinkToFit="1"/>
    </xf>
    <xf numFmtId="0" fontId="78" fillId="0" borderId="201" xfId="0" applyFont="1" applyBorder="1" applyAlignment="1">
      <alignment horizontal="center" vertical="center" shrinkToFit="1"/>
    </xf>
    <xf numFmtId="0" fontId="53" fillId="0" borderId="14" xfId="0" applyFont="1" applyBorder="1" applyAlignment="1">
      <alignment horizontal="left" vertical="center" shrinkToFit="1"/>
    </xf>
    <xf numFmtId="0" fontId="36" fillId="0" borderId="46" xfId="0" applyFont="1" applyBorder="1" applyAlignment="1">
      <alignment horizontal="center" vertical="center" shrinkToFit="1"/>
    </xf>
    <xf numFmtId="0" fontId="53" fillId="34" borderId="10" xfId="0" applyFont="1" applyFill="1" applyBorder="1" applyAlignment="1">
      <alignment horizontal="left" vertical="center" shrinkToFit="1"/>
    </xf>
    <xf numFmtId="0" fontId="53" fillId="0" borderId="19" xfId="0" applyFont="1" applyBorder="1" applyAlignment="1">
      <alignment horizontal="left" vertical="center" shrinkToFit="1"/>
    </xf>
    <xf numFmtId="0" fontId="53" fillId="34" borderId="13" xfId="0" applyFont="1" applyFill="1" applyBorder="1" applyAlignment="1">
      <alignment horizontal="left" vertical="center" shrinkToFit="1"/>
    </xf>
    <xf numFmtId="0" fontId="50" fillId="35" borderId="58" xfId="0" applyFont="1" applyFill="1" applyBorder="1" applyAlignment="1">
      <alignment horizontal="center" vertical="center" shrinkToFit="1"/>
    </xf>
    <xf numFmtId="0" fontId="50" fillId="35" borderId="60" xfId="0" applyFont="1" applyFill="1" applyBorder="1" applyAlignment="1">
      <alignment horizontal="center" vertical="center" shrinkToFit="1"/>
    </xf>
    <xf numFmtId="0" fontId="50" fillId="35" borderId="59" xfId="0" applyFont="1" applyFill="1" applyBorder="1" applyAlignment="1">
      <alignment horizontal="center" vertical="center" shrinkToFit="1"/>
    </xf>
    <xf numFmtId="0" fontId="33" fillId="35" borderId="58" xfId="0" applyFont="1" applyFill="1" applyBorder="1" applyAlignment="1">
      <alignment horizontal="center" vertical="center" shrinkToFit="1"/>
    </xf>
    <xf numFmtId="0" fontId="33" fillId="35" borderId="60" xfId="0" applyFont="1" applyFill="1" applyBorder="1" applyAlignment="1">
      <alignment horizontal="center" vertical="center" shrinkToFit="1"/>
    </xf>
    <xf numFmtId="0" fontId="33" fillId="35" borderId="59" xfId="0" applyFont="1" applyFill="1" applyBorder="1" applyAlignment="1">
      <alignment horizontal="center" vertical="center" shrinkToFit="1"/>
    </xf>
    <xf numFmtId="204" fontId="34" fillId="44" borderId="95" xfId="0" applyNumberFormat="1" applyFont="1" applyFill="1" applyBorder="1" applyAlignment="1">
      <alignment horizontal="center" vertical="center" shrinkToFit="1"/>
    </xf>
    <xf numFmtId="204" fontId="34" fillId="44" borderId="53" xfId="0" applyNumberFormat="1" applyFont="1" applyFill="1" applyBorder="1" applyAlignment="1">
      <alignment horizontal="center" vertical="center" shrinkToFit="1"/>
    </xf>
    <xf numFmtId="0" fontId="0" fillId="41" borderId="89" xfId="0" applyFill="1" applyBorder="1" applyAlignment="1">
      <alignment horizontal="left" vertical="center" shrinkToFit="1"/>
    </xf>
    <xf numFmtId="0" fontId="0" fillId="41" borderId="90" xfId="0" applyFill="1" applyBorder="1" applyAlignment="1">
      <alignment horizontal="left" vertical="center" shrinkToFit="1"/>
    </xf>
    <xf numFmtId="0" fontId="33" fillId="35" borderId="91" xfId="0" applyFont="1" applyFill="1" applyBorder="1" applyAlignment="1">
      <alignment horizontal="center" vertical="center" shrinkToFit="1"/>
    </xf>
    <xf numFmtId="0" fontId="33" fillId="35" borderId="92" xfId="0" applyFont="1" applyFill="1" applyBorder="1" applyAlignment="1">
      <alignment horizontal="center" vertical="center" shrinkToFit="1"/>
    </xf>
    <xf numFmtId="0" fontId="35" fillId="0" borderId="54" xfId="0" applyFont="1" applyBorder="1" applyAlignment="1">
      <alignment horizontal="center" vertical="center" shrinkToFit="1"/>
    </xf>
    <xf numFmtId="0" fontId="0" fillId="42" borderId="54" xfId="0" applyFill="1" applyBorder="1" applyAlignment="1">
      <alignment horizontal="left" vertical="center" shrinkToFit="1"/>
    </xf>
    <xf numFmtId="0" fontId="0" fillId="30" borderId="87" xfId="0" applyFill="1" applyBorder="1" applyAlignment="1">
      <alignment horizontal="left" vertical="center" shrinkToFit="1"/>
    </xf>
    <xf numFmtId="0" fontId="0" fillId="30" borderId="55" xfId="0" applyFill="1" applyBorder="1" applyAlignment="1">
      <alignment horizontal="left" vertical="center" shrinkToFit="1"/>
    </xf>
    <xf numFmtId="0" fontId="0" fillId="0" borderId="87" xfId="0" applyBorder="1" applyAlignment="1">
      <alignment horizontal="left" vertical="center" shrinkToFit="1"/>
    </xf>
    <xf numFmtId="0" fontId="0" fillId="0" borderId="55" xfId="0" applyBorder="1" applyAlignment="1">
      <alignment horizontal="left" vertical="center" shrinkToFit="1"/>
    </xf>
    <xf numFmtId="0" fontId="0" fillId="0" borderId="54" xfId="0" applyBorder="1" applyAlignment="1">
      <alignment horizontal="left" vertical="center" shrinkToFit="1"/>
    </xf>
    <xf numFmtId="0" fontId="29" fillId="43" borderId="83" xfId="0" applyFont="1" applyFill="1" applyBorder="1" applyAlignment="1">
      <alignment horizontal="left" vertical="center" shrinkToFit="1"/>
    </xf>
    <xf numFmtId="0" fontId="29" fillId="43" borderId="57" xfId="0" applyFont="1" applyFill="1" applyBorder="1" applyAlignment="1">
      <alignment horizontal="left" vertical="center" shrinkToFit="1"/>
    </xf>
    <xf numFmtId="0" fontId="29" fillId="3" borderId="86" xfId="0" applyFont="1" applyFill="1" applyBorder="1" applyAlignment="1">
      <alignment horizontal="left" vertical="center" shrinkToFit="1"/>
    </xf>
    <xf numFmtId="0" fontId="29" fillId="3" borderId="56" xfId="0" applyFont="1" applyFill="1" applyBorder="1" applyAlignment="1">
      <alignment horizontal="left" vertical="center" shrinkToFit="1"/>
    </xf>
    <xf numFmtId="0" fontId="0" fillId="33" borderId="87" xfId="0" applyFill="1" applyBorder="1" applyAlignment="1">
      <alignment horizontal="left" vertical="center" shrinkToFit="1"/>
    </xf>
    <xf numFmtId="0" fontId="0" fillId="33" borderId="55" xfId="0" applyFill="1" applyBorder="1" applyAlignment="1">
      <alignment horizontal="left" vertical="center" shrinkToFit="1"/>
    </xf>
    <xf numFmtId="0" fontId="0" fillId="42" borderId="93" xfId="0" applyFill="1" applyBorder="1" applyAlignment="1">
      <alignment horizontal="center" vertical="center" shrinkToFit="1"/>
    </xf>
    <xf numFmtId="0" fontId="0" fillId="42" borderId="94" xfId="0" applyFill="1" applyBorder="1" applyAlignment="1">
      <alignment horizontal="center" vertical="center" shrinkToFit="1"/>
    </xf>
    <xf numFmtId="0" fontId="33" fillId="0" borderId="95" xfId="0" applyFont="1" applyBorder="1" applyAlignment="1">
      <alignment horizontal="center" vertical="center" wrapText="1" shrinkToFit="1"/>
    </xf>
    <xf numFmtId="0" fontId="35" fillId="0" borderId="95" xfId="0" applyFont="1" applyBorder="1" applyAlignment="1">
      <alignment horizontal="center" vertical="center" wrapText="1" shrinkToFit="1"/>
    </xf>
    <xf numFmtId="0" fontId="35" fillId="0" borderId="53" xfId="0" applyFont="1" applyBorder="1" applyAlignment="1">
      <alignment horizontal="center" vertical="center" wrapText="1" shrinkToFit="1"/>
    </xf>
    <xf numFmtId="0" fontId="33" fillId="38" borderId="58" xfId="0" applyFont="1" applyFill="1" applyBorder="1" applyAlignment="1">
      <alignment horizontal="center" vertical="center"/>
    </xf>
    <xf numFmtId="0" fontId="33" fillId="38" borderId="60" xfId="0" applyFont="1" applyFill="1" applyBorder="1" applyAlignment="1">
      <alignment horizontal="center" vertical="center"/>
    </xf>
    <xf numFmtId="3" fontId="27" fillId="0" borderId="126" xfId="0" applyNumberFormat="1" applyFont="1" applyBorder="1" applyAlignment="1">
      <alignment horizontal="center" vertical="center" shrinkToFit="1"/>
    </xf>
    <xf numFmtId="3" fontId="27" fillId="0" borderId="101" xfId="0" applyNumberFormat="1" applyFont="1" applyBorder="1" applyAlignment="1">
      <alignment horizontal="center" vertical="center" shrinkToFit="1"/>
    </xf>
    <xf numFmtId="3" fontId="27" fillId="0" borderId="118" xfId="0" applyNumberFormat="1" applyFont="1" applyBorder="1" applyAlignment="1">
      <alignment horizontal="center" vertical="center" shrinkToFit="1"/>
    </xf>
    <xf numFmtId="3" fontId="27" fillId="0" borderId="50" xfId="0" applyNumberFormat="1" applyFont="1" applyBorder="1" applyAlignment="1">
      <alignment horizontal="center" vertical="center" shrinkToFit="1"/>
    </xf>
    <xf numFmtId="3" fontId="27" fillId="0" borderId="102" xfId="0" applyNumberFormat="1" applyFont="1" applyBorder="1" applyAlignment="1">
      <alignment horizontal="center" vertical="center" shrinkToFit="1"/>
    </xf>
    <xf numFmtId="179" fontId="27" fillId="0" borderId="44" xfId="0" applyNumberFormat="1" applyFont="1" applyBorder="1" applyAlignment="1">
      <alignment horizontal="center" vertical="center" shrinkToFit="1"/>
    </xf>
    <xf numFmtId="179" fontId="27" fillId="0" borderId="47" xfId="0" applyNumberFormat="1" applyFont="1" applyBorder="1" applyAlignment="1">
      <alignment horizontal="center" vertical="center" shrinkToFit="1"/>
    </xf>
    <xf numFmtId="179" fontId="29" fillId="25" borderId="48" xfId="0" applyNumberFormat="1" applyFont="1" applyFill="1" applyBorder="1" applyAlignment="1">
      <alignment horizontal="center" vertical="center" wrapText="1" shrinkToFit="1"/>
    </xf>
    <xf numFmtId="179" fontId="29" fillId="25" borderId="49" xfId="0" applyNumberFormat="1" applyFont="1" applyFill="1" applyBorder="1" applyAlignment="1">
      <alignment horizontal="center" vertical="center" wrapText="1" shrinkToFit="1"/>
    </xf>
    <xf numFmtId="179" fontId="29" fillId="26" borderId="48" xfId="0" applyNumberFormat="1" applyFont="1" applyFill="1" applyBorder="1" applyAlignment="1">
      <alignment horizontal="center" vertical="center" wrapText="1"/>
    </xf>
    <xf numFmtId="179" fontId="29" fillId="26" borderId="49" xfId="0" applyNumberFormat="1" applyFont="1" applyFill="1" applyBorder="1" applyAlignment="1">
      <alignment horizontal="center" vertical="center" wrapText="1"/>
    </xf>
    <xf numFmtId="179" fontId="27" fillId="27" borderId="48" xfId="0" applyNumberFormat="1" applyFont="1" applyFill="1" applyBorder="1" applyAlignment="1">
      <alignment horizontal="center" vertical="center" wrapText="1" shrinkToFit="1"/>
    </xf>
    <xf numFmtId="179" fontId="27" fillId="27" borderId="96" xfId="0" applyNumberFormat="1" applyFont="1" applyFill="1" applyBorder="1" applyAlignment="1">
      <alignment horizontal="center" vertical="center" wrapText="1" shrinkToFit="1"/>
    </xf>
    <xf numFmtId="179" fontId="0" fillId="27" borderId="48" xfId="0" applyNumberFormat="1" applyFill="1" applyBorder="1" applyAlignment="1">
      <alignment horizontal="center" vertical="center" shrinkToFit="1"/>
    </xf>
    <xf numFmtId="179" fontId="27" fillId="27" borderId="49" xfId="0" applyNumberFormat="1" applyFont="1" applyFill="1" applyBorder="1" applyAlignment="1">
      <alignment horizontal="center" vertical="center" shrinkToFit="1"/>
    </xf>
    <xf numFmtId="179" fontId="27" fillId="0" borderId="106" xfId="0" applyNumberFormat="1" applyFont="1" applyBorder="1" applyAlignment="1">
      <alignment horizontal="center" vertical="center" shrinkToFit="1"/>
    </xf>
    <xf numFmtId="179" fontId="27" fillId="0" borderId="107" xfId="0" applyNumberFormat="1" applyFont="1" applyBorder="1" applyAlignment="1">
      <alignment horizontal="center" vertical="center" shrinkToFit="1"/>
    </xf>
    <xf numFmtId="179" fontId="27" fillId="0" borderId="108" xfId="0" applyNumberFormat="1" applyFont="1" applyBorder="1" applyAlignment="1">
      <alignment horizontal="center" vertical="center" shrinkToFit="1"/>
    </xf>
    <xf numFmtId="179" fontId="27" fillId="0" borderId="96" xfId="0" applyNumberFormat="1" applyFont="1" applyBorder="1" applyAlignment="1">
      <alignment horizontal="center" vertical="center" shrinkToFit="1"/>
    </xf>
    <xf numFmtId="179" fontId="27" fillId="0" borderId="49" xfId="0" applyNumberFormat="1" applyFont="1" applyBorder="1" applyAlignment="1">
      <alignment horizontal="center" vertical="center" shrinkToFit="1"/>
    </xf>
    <xf numFmtId="6" fontId="26" fillId="0" borderId="0" xfId="0" applyNumberFormat="1" applyFont="1" applyAlignment="1">
      <alignment horizontal="left" vertical="center" wrapText="1"/>
    </xf>
    <xf numFmtId="6" fontId="52" fillId="45" borderId="44" xfId="0" applyNumberFormat="1" applyFont="1" applyFill="1" applyBorder="1" applyAlignment="1">
      <alignment horizontal="center" vertical="center" shrinkToFit="1"/>
    </xf>
    <xf numFmtId="6" fontId="52" fillId="45" borderId="62" xfId="0" applyNumberFormat="1" applyFont="1" applyFill="1" applyBorder="1" applyAlignment="1">
      <alignment horizontal="center" vertical="center" shrinkToFit="1"/>
    </xf>
    <xf numFmtId="6" fontId="52" fillId="45" borderId="47" xfId="0" applyNumberFormat="1" applyFont="1" applyFill="1" applyBorder="1" applyAlignment="1">
      <alignment horizontal="center" vertical="center" shrinkToFit="1"/>
    </xf>
  </cellXfs>
  <cellStyles count="6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46" xr:uid="{00000000-0005-0000-0000-00001C000000}"/>
    <cellStyle name="パーセント 3" xfId="48" xr:uid="{00000000-0005-0000-0000-00001D000000}"/>
    <cellStyle name="パーセント 4" xfId="51" xr:uid="{00000000-0005-0000-0000-00001E000000}"/>
    <cellStyle name="パーセント 5" xfId="57" xr:uid="{00000000-0005-0000-0000-00001F000000}"/>
    <cellStyle name="ハイパーリンク" xfId="67" builtinId="8"/>
    <cellStyle name="ハイパーリンク 2" xfId="62" xr:uid="{F9C7E9D4-92FC-C245-A405-F252034A5FDB}"/>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47" xr:uid="{00000000-0005-0000-0000-000026000000}"/>
    <cellStyle name="桁区切り 2 2" xfId="49" xr:uid="{00000000-0005-0000-0000-000027000000}"/>
    <cellStyle name="桁区切り 2 2 2" xfId="66" xr:uid="{1FAC6267-0D00-4115-A7FC-9C05ED74ACDC}"/>
    <cellStyle name="桁区切り 2 3" xfId="63" xr:uid="{B4025F9B-3717-C04A-9233-4476532575D7}"/>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通貨" xfId="60" builtinId="7"/>
    <cellStyle name="入力" xfId="42" builtinId="20" customBuiltin="1"/>
    <cellStyle name="標準" xfId="0" builtinId="0"/>
    <cellStyle name="標準 11" xfId="58" xr:uid="{00000000-0005-0000-0000-000031000000}"/>
    <cellStyle name="標準 13" xfId="50" xr:uid="{00000000-0005-0000-0000-000032000000}"/>
    <cellStyle name="標準 15" xfId="61" xr:uid="{1F15CA12-D28F-B94C-8DCB-3786B5ADD8ED}"/>
    <cellStyle name="標準 15 2" xfId="65" xr:uid="{A438E544-96B0-40CC-9369-B6878834E430}"/>
    <cellStyle name="標準 2" xfId="45" xr:uid="{00000000-0005-0000-0000-000033000000}"/>
    <cellStyle name="標準 3" xfId="52" xr:uid="{00000000-0005-0000-0000-000034000000}"/>
    <cellStyle name="標準 4" xfId="53" xr:uid="{00000000-0005-0000-0000-000035000000}"/>
    <cellStyle name="標準 5" xfId="44" xr:uid="{00000000-0005-0000-0000-000036000000}"/>
    <cellStyle name="標準 6" xfId="56" xr:uid="{00000000-0005-0000-0000-000037000000}"/>
    <cellStyle name="標準 6 2" xfId="59" xr:uid="{00000000-0005-0000-0000-000038000000}"/>
    <cellStyle name="標準 7" xfId="64" xr:uid="{6222E3AE-41BA-D047-B462-5EE65782E3DD}"/>
    <cellStyle name="良い" xfId="43" builtinId="26" customBuiltin="1"/>
    <cellStyle name="良い 2" xfId="55" xr:uid="{00000000-0005-0000-0000-00003A000000}"/>
    <cellStyle name="표준_견적서" xfId="54" xr:uid="{00000000-0005-0000-0000-00003B000000}"/>
  </cellStyles>
  <dxfs count="0"/>
  <tableStyles count="0" defaultTableStyle="TableStyleMedium9" defaultPivotStyle="PivotStyleLight16"/>
  <colors>
    <mruColors>
      <color rgb="FFCC99FF"/>
      <color rgb="FFFFFF99"/>
      <color rgb="FF9BFFFF"/>
      <color rgb="FF99FF99"/>
      <color rgb="FF66FFFF"/>
      <color rgb="FF00FFFF"/>
      <color rgb="FF0000FF"/>
      <color rgb="FFFFCCFF"/>
      <color rgb="FF00FF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ata.jma.go.jp/stats/etrn/view/nml_amd_ym.php?prec_no=32&amp;block_no=0912&amp;year=&amp;month=&amp;day=&amp;view=" TargetMode="External"/><Relationship Id="rId1" Type="http://schemas.openxmlformats.org/officeDocument/2006/relationships/hyperlink" Target="https://domessolar.infop.nedo.go.jp/appww/cgi-bin/monsola.cgi?m=60402468"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103"/>
  <sheetViews>
    <sheetView showGridLines="0" tabSelected="1" zoomScaleNormal="100" workbookViewId="0">
      <pane ySplit="5" topLeftCell="A6" activePane="bottomLeft" state="frozen"/>
      <selection pane="bottomLeft" activeCell="D9" sqref="D9"/>
    </sheetView>
  </sheetViews>
  <sheetFormatPr defaultColWidth="8.81640625" defaultRowHeight="18" customHeight="1"/>
  <cols>
    <col min="1" max="1" width="2.36328125" customWidth="1"/>
    <col min="2" max="2" width="11.453125" customWidth="1"/>
    <col min="3" max="3" width="29.453125" customWidth="1"/>
    <col min="4" max="4" width="13.453125" customWidth="1"/>
    <col min="5" max="5" width="13.08984375" style="1" customWidth="1"/>
    <col min="6" max="6" width="16.453125" style="1" customWidth="1"/>
    <col min="7" max="7" width="29.6328125" customWidth="1"/>
    <col min="8" max="8" width="13.1796875" style="291" customWidth="1"/>
    <col min="9" max="9" width="3.6328125" customWidth="1"/>
    <col min="10" max="10" width="24.453125" customWidth="1"/>
    <col min="11" max="11" width="11.1796875" customWidth="1"/>
    <col min="12" max="12" width="12.1796875" customWidth="1"/>
    <col min="13" max="13" width="17" customWidth="1"/>
    <col min="14" max="14" width="15.453125" customWidth="1"/>
    <col min="15" max="15" width="2.81640625" customWidth="1"/>
    <col min="16" max="16" width="12.6328125" customWidth="1"/>
    <col min="17" max="17" width="27.81640625" customWidth="1"/>
    <col min="18" max="18" width="21.36328125" customWidth="1"/>
    <col min="20" max="20" width="27.1796875" customWidth="1"/>
    <col min="21" max="21" width="17.6328125" customWidth="1"/>
    <col min="22" max="22" width="14.6328125" customWidth="1"/>
    <col min="23" max="23" width="25.1796875" customWidth="1"/>
  </cols>
  <sheetData>
    <row r="1" spans="2:18" ht="18" customHeight="1" thickBot="1"/>
    <row r="2" spans="2:18" ht="18" customHeight="1" thickBot="1">
      <c r="C2" s="629" t="str">
        <f>年間システム発電量!C6</f>
        <v>大館市蟹沢第一発電所</v>
      </c>
    </row>
    <row r="3" spans="2:18" ht="24" customHeight="1" thickBot="1">
      <c r="C3" s="462" t="s">
        <v>206</v>
      </c>
      <c r="D3" s="518">
        <f>事業収支!D61</f>
        <v>3.2082269970425736E-2</v>
      </c>
      <c r="E3" s="694" t="s">
        <v>269</v>
      </c>
      <c r="F3" s="694"/>
      <c r="G3" s="461">
        <f>事業収支!D60</f>
        <v>0.22564167471245677</v>
      </c>
      <c r="J3" s="463" t="s">
        <v>122</v>
      </c>
      <c r="K3" s="547">
        <f>事業収支!D63</f>
        <v>19</v>
      </c>
      <c r="M3" t="s">
        <v>354</v>
      </c>
      <c r="N3" t="s">
        <v>355</v>
      </c>
    </row>
    <row r="4" spans="2:18" ht="24" customHeight="1" thickBot="1">
      <c r="C4" s="520" t="s">
        <v>348</v>
      </c>
      <c r="D4" s="628">
        <f>事業収支!D63</f>
        <v>19</v>
      </c>
      <c r="E4" s="695" t="s">
        <v>270</v>
      </c>
      <c r="F4" s="695"/>
      <c r="G4" s="519">
        <f>事業収支!D64</f>
        <v>7.8179860387441789</v>
      </c>
      <c r="N4" s="377"/>
    </row>
    <row r="5" spans="2:18" ht="18" customHeight="1">
      <c r="N5" s="377"/>
    </row>
    <row r="6" spans="2:18" ht="18" customHeight="1" thickBot="1"/>
    <row r="7" spans="2:18" ht="29" customHeight="1" thickTop="1" thickBot="1">
      <c r="C7" s="514" t="s">
        <v>377</v>
      </c>
      <c r="D7" s="538">
        <v>22892</v>
      </c>
      <c r="E7" s="704" t="s">
        <v>264</v>
      </c>
      <c r="F7" s="704"/>
      <c r="G7" s="662">
        <f>年間システム発電量!D18</f>
        <v>2002</v>
      </c>
      <c r="H7" s="707" t="s">
        <v>274</v>
      </c>
      <c r="I7" s="708"/>
      <c r="J7" s="525" t="s">
        <v>265</v>
      </c>
      <c r="K7" s="639">
        <v>30</v>
      </c>
      <c r="L7" t="s">
        <v>354</v>
      </c>
      <c r="M7" s="590">
        <f>F23+F24+F25+F26</f>
        <v>12246037.199999999</v>
      </c>
    </row>
    <row r="8" spans="2:18" ht="38" customHeight="1" thickTop="1" thickBot="1">
      <c r="C8" s="515" t="s">
        <v>351</v>
      </c>
      <c r="D8" s="672">
        <v>18</v>
      </c>
      <c r="E8" s="705" t="s">
        <v>276</v>
      </c>
      <c r="F8" s="706"/>
      <c r="G8" s="663">
        <f>年間システム発電量!P16/G7</f>
        <v>1146.5887872790888</v>
      </c>
      <c r="H8" s="709"/>
      <c r="I8" s="710"/>
      <c r="J8" s="526" t="s">
        <v>273</v>
      </c>
      <c r="K8" s="664">
        <f>年間システム発電量!D17</f>
        <v>650</v>
      </c>
      <c r="L8" t="s">
        <v>355</v>
      </c>
      <c r="M8" s="590">
        <f>F27+F28+F29+F30+F31+F32</f>
        <v>50747860</v>
      </c>
    </row>
    <row r="9" spans="2:18" ht="23" customHeight="1" thickTop="1" thickBot="1">
      <c r="G9" s="523"/>
      <c r="J9" s="527" t="s">
        <v>278</v>
      </c>
      <c r="K9" s="640">
        <v>1</v>
      </c>
      <c r="L9" t="s">
        <v>356</v>
      </c>
      <c r="M9" s="590">
        <f>F34+F38+F42+F46+F47+F55</f>
        <v>148282762</v>
      </c>
    </row>
    <row r="10" spans="2:18" ht="18" customHeight="1" thickTop="1" thickBot="1">
      <c r="B10" s="698" t="s">
        <v>134</v>
      </c>
      <c r="C10" s="699"/>
      <c r="D10" s="700" t="s">
        <v>179</v>
      </c>
      <c r="E10" s="701"/>
      <c r="F10" s="642">
        <f>D15</f>
        <v>0.3</v>
      </c>
      <c r="N10" s="243"/>
      <c r="Q10" s="555">
        <v>24</v>
      </c>
    </row>
    <row r="11" spans="2:18" ht="18" customHeight="1" thickTop="1">
      <c r="B11" s="395"/>
      <c r="C11" s="396" t="s">
        <v>175</v>
      </c>
      <c r="D11" s="397"/>
      <c r="E11" s="398" t="s">
        <v>133</v>
      </c>
      <c r="F11" s="399"/>
      <c r="G11" s="437" t="s">
        <v>0</v>
      </c>
      <c r="H11" s="369" t="s">
        <v>242</v>
      </c>
      <c r="Q11" s="572">
        <v>0.25</v>
      </c>
    </row>
    <row r="12" spans="2:18" ht="18" customHeight="1">
      <c r="B12" s="279" t="s">
        <v>1</v>
      </c>
      <c r="C12" s="245" t="s">
        <v>2</v>
      </c>
      <c r="D12" s="400">
        <f>G7</f>
        <v>2002</v>
      </c>
      <c r="E12" s="251" t="s">
        <v>3</v>
      </c>
      <c r="F12" s="248"/>
      <c r="G12" s="438"/>
      <c r="H12" s="449"/>
      <c r="I12" s="92"/>
      <c r="J12" s="521" t="s">
        <v>272</v>
      </c>
      <c r="K12" s="665">
        <f>年間システム発電量!D19</f>
        <v>3080</v>
      </c>
      <c r="Q12" s="555">
        <f>Q10*(1-Q11)</f>
        <v>18</v>
      </c>
    </row>
    <row r="13" spans="2:18" ht="18" customHeight="1" thickBot="1">
      <c r="B13" s="279"/>
      <c r="C13" s="245" t="s">
        <v>275</v>
      </c>
      <c r="D13" s="400">
        <f>G8</f>
        <v>1146.5887872790888</v>
      </c>
      <c r="E13" s="251" t="s">
        <v>4</v>
      </c>
      <c r="F13" s="246"/>
      <c r="G13" s="524" t="str">
        <f>IF(G23="SolarEdge SE33.3K","パワコンがソーラーエッジの場合1.1倍","")</f>
        <v/>
      </c>
      <c r="H13" s="448"/>
      <c r="I13" s="2"/>
      <c r="J13" s="432" t="s">
        <v>277</v>
      </c>
      <c r="K13" s="641">
        <v>24</v>
      </c>
      <c r="Q13" s="559">
        <v>558579</v>
      </c>
      <c r="R13" t="s">
        <v>347</v>
      </c>
    </row>
    <row r="14" spans="2:18" ht="18" customHeight="1" thickTop="1">
      <c r="B14" s="279"/>
      <c r="C14" s="245" t="s">
        <v>107</v>
      </c>
      <c r="D14" s="401">
        <v>5.0000000000000001E-3</v>
      </c>
      <c r="E14" s="251"/>
      <c r="F14" s="246"/>
      <c r="G14" s="439"/>
      <c r="H14" s="448"/>
      <c r="I14" s="2"/>
      <c r="J14" s="528" t="s">
        <v>279</v>
      </c>
      <c r="K14" s="529">
        <v>33.299999999999997</v>
      </c>
      <c r="Q14" s="555">
        <f>Q10-Q12</f>
        <v>6</v>
      </c>
    </row>
    <row r="15" spans="2:18" ht="18" customHeight="1" thickBot="1">
      <c r="B15" s="279"/>
      <c r="C15" s="245" t="s">
        <v>23</v>
      </c>
      <c r="D15" s="666">
        <v>0.3</v>
      </c>
      <c r="E15" s="251"/>
      <c r="F15" s="249">
        <f>INT(D15*F64)</f>
        <v>97599317</v>
      </c>
      <c r="G15" s="439"/>
      <c r="H15" s="448"/>
      <c r="I15" s="2"/>
      <c r="J15" s="530" t="s">
        <v>280</v>
      </c>
      <c r="K15" s="531">
        <v>1.3</v>
      </c>
      <c r="Q15" s="573">
        <f>Q13*Q14</f>
        <v>3351474</v>
      </c>
    </row>
    <row r="16" spans="2:18" ht="18" customHeight="1" thickTop="1" thickBot="1">
      <c r="B16" s="279"/>
      <c r="C16" s="245" t="s">
        <v>24</v>
      </c>
      <c r="D16" s="402">
        <f>1-D15</f>
        <v>0.7</v>
      </c>
      <c r="E16" s="251"/>
      <c r="F16" s="249">
        <f>F64-F15</f>
        <v>227731742.19999999</v>
      </c>
      <c r="G16" s="439"/>
      <c r="H16" s="448"/>
      <c r="I16" s="2"/>
      <c r="Q16" s="555">
        <v>17</v>
      </c>
      <c r="R16" t="s">
        <v>28</v>
      </c>
    </row>
    <row r="17" spans="2:17" ht="18" customHeight="1">
      <c r="B17" s="279"/>
      <c r="C17" s="245" t="s">
        <v>27</v>
      </c>
      <c r="D17" s="673">
        <v>25</v>
      </c>
      <c r="E17" s="251" t="s">
        <v>28</v>
      </c>
      <c r="F17" s="246"/>
      <c r="G17" s="439"/>
      <c r="H17" s="448"/>
      <c r="I17" s="2"/>
      <c r="J17" s="276" t="s">
        <v>218</v>
      </c>
      <c r="Q17" s="574">
        <f>Q15*Q16</f>
        <v>56975058</v>
      </c>
    </row>
    <row r="18" spans="2:17" ht="18" customHeight="1" thickBot="1">
      <c r="B18" s="279"/>
      <c r="C18" s="245" t="s">
        <v>25</v>
      </c>
      <c r="D18" s="674">
        <v>2</v>
      </c>
      <c r="E18" s="252"/>
      <c r="F18" s="250"/>
      <c r="G18" s="439" t="s">
        <v>86</v>
      </c>
      <c r="H18" s="448"/>
      <c r="I18" s="2"/>
      <c r="J18" s="277">
        <v>0</v>
      </c>
      <c r="Q18" s="555"/>
    </row>
    <row r="19" spans="2:17" ht="18" customHeight="1">
      <c r="B19" s="279"/>
      <c r="C19" s="245" t="s">
        <v>105</v>
      </c>
      <c r="D19" s="404">
        <f>D17</f>
        <v>25</v>
      </c>
      <c r="E19" s="253" t="s">
        <v>106</v>
      </c>
      <c r="F19" s="250"/>
      <c r="G19" s="440"/>
      <c r="H19" s="448"/>
      <c r="I19" s="2"/>
    </row>
    <row r="20" spans="2:17" ht="18" customHeight="1">
      <c r="B20" s="405" t="s">
        <v>176</v>
      </c>
      <c r="C20" s="406" t="s">
        <v>112</v>
      </c>
      <c r="D20" s="696" t="s">
        <v>174</v>
      </c>
      <c r="E20" s="697"/>
      <c r="F20" s="407" t="s">
        <v>98</v>
      </c>
      <c r="G20" s="441"/>
      <c r="H20" s="448"/>
      <c r="I20" s="256"/>
      <c r="J20" s="260" t="s">
        <v>182</v>
      </c>
      <c r="K20" s="271" t="s">
        <v>184</v>
      </c>
      <c r="L20" s="271" t="s">
        <v>185</v>
      </c>
      <c r="M20" s="260" t="s">
        <v>183</v>
      </c>
      <c r="N20" s="260" t="s">
        <v>116</v>
      </c>
      <c r="P20" t="s">
        <v>349</v>
      </c>
      <c r="Q20" s="578">
        <v>0.23</v>
      </c>
    </row>
    <row r="21" spans="2:17" ht="18" customHeight="1">
      <c r="B21" s="279"/>
      <c r="C21" s="408" t="s">
        <v>117</v>
      </c>
      <c r="D21" s="409">
        <f>J21*(1+$J$18)</f>
        <v>0</v>
      </c>
      <c r="E21" s="247" t="s">
        <v>190</v>
      </c>
      <c r="F21" s="410">
        <f t="shared" ref="F21:F22" si="0">D21*K21</f>
        <v>0</v>
      </c>
      <c r="G21" s="442"/>
      <c r="H21" s="448"/>
      <c r="I21" s="257"/>
      <c r="J21" s="289">
        <v>0</v>
      </c>
      <c r="K21" s="254">
        <v>1</v>
      </c>
      <c r="L21" s="255" t="s">
        <v>169</v>
      </c>
      <c r="M21" s="261">
        <f t="shared" ref="M21:M26" si="1">J21*K21</f>
        <v>0</v>
      </c>
      <c r="N21" s="263">
        <f t="shared" ref="N21:N23" si="2">F21-M21</f>
        <v>0</v>
      </c>
    </row>
    <row r="22" spans="2:17" ht="18" customHeight="1" thickBot="1">
      <c r="B22" s="279"/>
      <c r="C22" s="245" t="s">
        <v>187</v>
      </c>
      <c r="D22" s="409">
        <v>35000</v>
      </c>
      <c r="E22" s="273" t="s">
        <v>188</v>
      </c>
      <c r="F22" s="630">
        <f t="shared" si="0"/>
        <v>70070000</v>
      </c>
      <c r="G22" s="443" t="s">
        <v>328</v>
      </c>
      <c r="H22" s="448"/>
      <c r="I22" s="257"/>
      <c r="J22" s="290"/>
      <c r="K22" s="272">
        <f>$D$12</f>
        <v>2002</v>
      </c>
      <c r="L22" s="255" t="s">
        <v>186</v>
      </c>
      <c r="M22" s="261">
        <f t="shared" si="1"/>
        <v>0</v>
      </c>
      <c r="N22" s="262">
        <f t="shared" si="2"/>
        <v>70070000</v>
      </c>
      <c r="P22" s="573">
        <v>20000</v>
      </c>
      <c r="Q22" s="573">
        <f>(D22-P22)*G7</f>
        <v>30030000</v>
      </c>
    </row>
    <row r="23" spans="2:17" ht="18" customHeight="1" thickTop="1" thickBot="1">
      <c r="B23" s="279"/>
      <c r="C23" s="245" t="s">
        <v>20</v>
      </c>
      <c r="D23" s="522">
        <f>IF(G23="SolarEdge SE33.3K",P23*(1+$Q$20),IF(G23="SUN2000-50KTL-NHM3",450000,0))</f>
        <v>450000</v>
      </c>
      <c r="E23" s="469" t="s">
        <v>271</v>
      </c>
      <c r="F23" s="631">
        <f>D23*K13</f>
        <v>10800000</v>
      </c>
      <c r="G23" s="638" t="s">
        <v>357</v>
      </c>
      <c r="H23" s="448"/>
      <c r="I23" s="258"/>
      <c r="J23" s="290"/>
      <c r="K23" s="272">
        <f t="shared" ref="K23:K26" si="3">$D$12</f>
        <v>2002</v>
      </c>
      <c r="L23" s="255" t="s">
        <v>170</v>
      </c>
      <c r="M23" s="261">
        <f t="shared" si="1"/>
        <v>0</v>
      </c>
      <c r="N23" s="249">
        <f t="shared" si="2"/>
        <v>10800000</v>
      </c>
      <c r="P23" s="573">
        <v>235000</v>
      </c>
      <c r="Q23" s="573">
        <f>(D23-P23)*K13</f>
        <v>5160000</v>
      </c>
    </row>
    <row r="24" spans="2:17" ht="18" customHeight="1" thickTop="1">
      <c r="B24" s="548"/>
      <c r="C24" s="549" t="s">
        <v>245</v>
      </c>
      <c r="D24" s="550">
        <f>IF(G23="SolarEdge SE33.3K",P24*(1+$Q$20),0)</f>
        <v>0</v>
      </c>
      <c r="E24" s="549" t="s">
        <v>271</v>
      </c>
      <c r="F24" s="632">
        <f>IF(G23="SolarEdge SE33.3K",D24*(K12/2),0)</f>
        <v>0</v>
      </c>
      <c r="G24" s="643" t="str">
        <f>IF(G23="SolarEdge SE33.3K","SolarEdge S1200（パネル2枚で１台）","不要")</f>
        <v>不要</v>
      </c>
      <c r="H24" s="551"/>
      <c r="I24" s="2"/>
      <c r="J24" s="290"/>
      <c r="K24" s="272">
        <f t="shared" si="3"/>
        <v>2002</v>
      </c>
      <c r="L24" s="255" t="s">
        <v>186</v>
      </c>
      <c r="M24" s="261">
        <f t="shared" si="1"/>
        <v>0</v>
      </c>
      <c r="N24" s="249">
        <f>F24-M24</f>
        <v>0</v>
      </c>
      <c r="P24" s="573">
        <v>10100</v>
      </c>
      <c r="Q24" s="573">
        <f>(D24-P24)*$K$12/2</f>
        <v>-15554000</v>
      </c>
    </row>
    <row r="25" spans="2:17" ht="18" customHeight="1">
      <c r="B25" s="548"/>
      <c r="C25" s="555" t="s">
        <v>330</v>
      </c>
      <c r="D25" s="556">
        <v>0</v>
      </c>
      <c r="E25" s="555" t="s">
        <v>331</v>
      </c>
      <c r="F25" s="633">
        <f>D25*K12/2</f>
        <v>0</v>
      </c>
      <c r="G25" s="557"/>
      <c r="H25" s="448"/>
      <c r="I25" s="2"/>
      <c r="J25" s="290"/>
      <c r="K25" s="272">
        <f t="shared" si="3"/>
        <v>2002</v>
      </c>
      <c r="L25" s="255" t="s">
        <v>186</v>
      </c>
      <c r="M25" s="261">
        <f t="shared" si="1"/>
        <v>0</v>
      </c>
      <c r="N25" s="249">
        <f>F31-M25</f>
        <v>20020000</v>
      </c>
      <c r="P25" s="573">
        <v>330</v>
      </c>
      <c r="Q25" s="573">
        <f>(D25-P25)*K12/2</f>
        <v>-508200</v>
      </c>
    </row>
    <row r="26" spans="2:17" ht="18" customHeight="1">
      <c r="B26" s="548"/>
      <c r="C26" s="555" t="s">
        <v>329</v>
      </c>
      <c r="D26" s="556">
        <f t="shared" ref="D26:D32" si="4">P26*(1+$Q$20)</f>
        <v>60251.549999999996</v>
      </c>
      <c r="E26" s="555" t="s">
        <v>271</v>
      </c>
      <c r="F26" s="633">
        <f>D26*K13</f>
        <v>1446037.2</v>
      </c>
      <c r="G26" s="557"/>
      <c r="H26" s="448"/>
      <c r="I26" s="2"/>
      <c r="J26" s="290"/>
      <c r="K26" s="272">
        <f t="shared" si="3"/>
        <v>2002</v>
      </c>
      <c r="L26" s="255" t="s">
        <v>186</v>
      </c>
      <c r="M26" s="261">
        <f t="shared" si="1"/>
        <v>0</v>
      </c>
      <c r="N26" s="249">
        <f>F32-M26</f>
        <v>29549520</v>
      </c>
      <c r="P26" s="573">
        <v>48985</v>
      </c>
      <c r="Q26" s="573">
        <f>(D26-P26)*K13</f>
        <v>270397.1999999999</v>
      </c>
    </row>
    <row r="27" spans="2:17" ht="18" customHeight="1">
      <c r="B27" s="548"/>
      <c r="C27" s="555" t="s">
        <v>332</v>
      </c>
      <c r="D27" s="636">
        <f t="shared" si="4"/>
        <v>405900</v>
      </c>
      <c r="E27" s="555" t="s">
        <v>271</v>
      </c>
      <c r="F27" s="634">
        <f>D27*K27</f>
        <v>405900</v>
      </c>
      <c r="G27" s="557"/>
      <c r="H27" s="448"/>
      <c r="I27" s="2"/>
      <c r="J27" s="427"/>
      <c r="K27" s="388">
        <v>1</v>
      </c>
      <c r="L27" s="426" t="s">
        <v>282</v>
      </c>
      <c r="M27" s="428"/>
      <c r="N27" s="512"/>
      <c r="P27" s="573">
        <v>330000</v>
      </c>
      <c r="Q27" s="573">
        <f>D27-P27</f>
        <v>75900</v>
      </c>
    </row>
    <row r="28" spans="2:17" ht="18" customHeight="1">
      <c r="B28" s="548"/>
      <c r="C28" s="555" t="s">
        <v>333</v>
      </c>
      <c r="D28" s="636">
        <f t="shared" si="4"/>
        <v>393600</v>
      </c>
      <c r="E28" s="555" t="s">
        <v>271</v>
      </c>
      <c r="F28" s="634">
        <f t="shared" ref="F28:F30" si="5">D28*K28</f>
        <v>393600</v>
      </c>
      <c r="G28" s="555" t="s">
        <v>334</v>
      </c>
      <c r="H28" s="448"/>
      <c r="I28" s="2"/>
      <c r="J28" s="427"/>
      <c r="K28" s="388">
        <v>1</v>
      </c>
      <c r="L28" s="426" t="s">
        <v>282</v>
      </c>
      <c r="M28" s="428"/>
      <c r="N28" s="249"/>
      <c r="P28" s="573">
        <v>320000</v>
      </c>
      <c r="Q28" s="573">
        <f t="shared" ref="Q28:Q30" si="6">D28-P28</f>
        <v>73600</v>
      </c>
    </row>
    <row r="29" spans="2:17" ht="18" customHeight="1">
      <c r="B29" s="548"/>
      <c r="C29" s="558" t="s">
        <v>335</v>
      </c>
      <c r="D29" s="636">
        <f t="shared" si="4"/>
        <v>98400</v>
      </c>
      <c r="E29" s="555" t="s">
        <v>271</v>
      </c>
      <c r="F29" s="634">
        <f t="shared" si="5"/>
        <v>98400</v>
      </c>
      <c r="G29" s="558" t="s">
        <v>336</v>
      </c>
      <c r="H29" s="448"/>
      <c r="I29" s="2"/>
      <c r="J29" s="427"/>
      <c r="K29" s="388">
        <v>1</v>
      </c>
      <c r="L29" s="426" t="s">
        <v>282</v>
      </c>
      <c r="M29" s="428"/>
      <c r="N29" s="249"/>
      <c r="P29" s="573">
        <v>80000</v>
      </c>
      <c r="Q29" s="573">
        <f t="shared" si="6"/>
        <v>18400</v>
      </c>
    </row>
    <row r="30" spans="2:17" ht="18" customHeight="1">
      <c r="B30" s="548"/>
      <c r="C30" s="558" t="s">
        <v>337</v>
      </c>
      <c r="D30" s="636">
        <f t="shared" si="4"/>
        <v>280440</v>
      </c>
      <c r="E30" s="555" t="s">
        <v>271</v>
      </c>
      <c r="F30" s="634">
        <f t="shared" si="5"/>
        <v>280440</v>
      </c>
      <c r="G30" s="558" t="s">
        <v>338</v>
      </c>
      <c r="H30" s="448"/>
      <c r="I30" s="2"/>
      <c r="J30" s="290"/>
      <c r="K30" s="388">
        <v>1</v>
      </c>
      <c r="L30" s="426" t="s">
        <v>282</v>
      </c>
      <c r="M30" s="264"/>
      <c r="N30" s="265"/>
      <c r="P30" s="573">
        <v>228000</v>
      </c>
      <c r="Q30" s="573">
        <f t="shared" si="6"/>
        <v>52440</v>
      </c>
    </row>
    <row r="31" spans="2:17" ht="18" customHeight="1">
      <c r="B31" s="552"/>
      <c r="C31" s="536" t="s">
        <v>246</v>
      </c>
      <c r="D31" s="637">
        <v>10000</v>
      </c>
      <c r="E31" s="537" t="s">
        <v>188</v>
      </c>
      <c r="F31" s="635">
        <f>D31*K25</f>
        <v>20020000</v>
      </c>
      <c r="G31" s="553"/>
      <c r="H31" s="554"/>
      <c r="I31" t="s">
        <v>201</v>
      </c>
      <c r="K31" s="420">
        <f>M31/D12</f>
        <v>0</v>
      </c>
      <c r="L31" s="271" t="s">
        <v>189</v>
      </c>
      <c r="M31" s="263">
        <f>SUM(M21:M30)</f>
        <v>0</v>
      </c>
      <c r="N31" s="263">
        <f>SUM(N21:N30)</f>
        <v>130439520</v>
      </c>
      <c r="P31" s="573">
        <v>16500</v>
      </c>
      <c r="Q31" s="573">
        <f>(D31-P31)*G7</f>
        <v>-13013000</v>
      </c>
    </row>
    <row r="32" spans="2:17" ht="18" customHeight="1">
      <c r="B32" s="279"/>
      <c r="C32" s="245" t="s">
        <v>21</v>
      </c>
      <c r="D32" s="409">
        <f t="shared" si="4"/>
        <v>14760</v>
      </c>
      <c r="E32" s="273" t="s">
        <v>188</v>
      </c>
      <c r="F32" s="386">
        <f>D32*K26</f>
        <v>29549520</v>
      </c>
      <c r="G32" s="443"/>
      <c r="H32" s="448"/>
      <c r="I32" s="2"/>
      <c r="J32" s="278" t="str">
        <f>J20</f>
        <v>コスト単価</v>
      </c>
      <c r="K32" s="271" t="str">
        <f>K20</f>
        <v>数量</v>
      </c>
      <c r="L32" s="271" t="str">
        <f>L20</f>
        <v>単位</v>
      </c>
      <c r="M32" s="274" t="str">
        <f>M20</f>
        <v>コスト総額</v>
      </c>
      <c r="N32" s="274" t="str">
        <f>N20</f>
        <v>利益</v>
      </c>
      <c r="P32" s="573">
        <v>12000</v>
      </c>
      <c r="Q32" s="573">
        <f>(D32-P32)*G8</f>
        <v>3164585.0528902849</v>
      </c>
    </row>
    <row r="33" spans="2:17" ht="18" customHeight="1">
      <c r="B33" s="279"/>
      <c r="C33" s="245" t="s">
        <v>247</v>
      </c>
      <c r="D33" s="409">
        <v>4000</v>
      </c>
      <c r="E33" s="273" t="s">
        <v>188</v>
      </c>
      <c r="F33" s="386">
        <f>D33*G7</f>
        <v>8008000</v>
      </c>
      <c r="G33" s="443"/>
      <c r="H33" s="448"/>
      <c r="I33" s="2"/>
      <c r="J33" s="290"/>
      <c r="K33" s="272">
        <f t="shared" ref="K33:K36" si="7">$D$12</f>
        <v>2002</v>
      </c>
      <c r="L33" s="255" t="s">
        <v>186</v>
      </c>
      <c r="M33" s="261"/>
      <c r="N33" s="249"/>
      <c r="P33" s="573"/>
      <c r="Q33" s="555"/>
    </row>
    <row r="34" spans="2:17" ht="18" customHeight="1">
      <c r="B34" s="279"/>
      <c r="C34" s="245" t="s">
        <v>339</v>
      </c>
      <c r="D34" s="560">
        <v>0</v>
      </c>
      <c r="E34" s="273" t="s">
        <v>188</v>
      </c>
      <c r="F34" s="386">
        <v>0</v>
      </c>
      <c r="G34" s="443"/>
      <c r="H34" s="451"/>
      <c r="I34" s="2"/>
      <c r="J34" s="427"/>
      <c r="K34" s="272">
        <f t="shared" si="7"/>
        <v>2002</v>
      </c>
      <c r="L34" s="426"/>
      <c r="M34" s="428"/>
      <c r="N34" s="249"/>
      <c r="P34" s="555"/>
      <c r="Q34" s="555"/>
    </row>
    <row r="35" spans="2:17" ht="18" customHeight="1">
      <c r="B35" s="280"/>
      <c r="C35" s="268"/>
      <c r="D35" s="394"/>
      <c r="E35" s="275"/>
      <c r="F35" s="270"/>
      <c r="G35" s="444"/>
      <c r="H35" s="448"/>
      <c r="I35" s="2"/>
      <c r="J35" s="427"/>
      <c r="K35" s="272">
        <f t="shared" si="7"/>
        <v>2002</v>
      </c>
      <c r="L35" s="426"/>
      <c r="M35" s="428"/>
      <c r="N35" s="249"/>
      <c r="P35" s="559"/>
      <c r="Q35" s="555"/>
    </row>
    <row r="36" spans="2:17" ht="18" customHeight="1">
      <c r="B36" s="414"/>
      <c r="C36" s="415"/>
      <c r="D36" s="415"/>
      <c r="E36" s="416" t="s">
        <v>189</v>
      </c>
      <c r="F36" s="417">
        <f>SUM(F21:F35)</f>
        <v>141071897.19999999</v>
      </c>
      <c r="G36" s="445">
        <f>F36/D12</f>
        <v>70465.483116883115</v>
      </c>
      <c r="H36" s="448"/>
      <c r="I36" s="2"/>
      <c r="J36" s="427"/>
      <c r="K36" s="272">
        <f t="shared" si="7"/>
        <v>2002</v>
      </c>
      <c r="L36" s="426"/>
      <c r="M36" s="428"/>
      <c r="N36" s="249"/>
      <c r="P36" s="559"/>
      <c r="Q36" s="555"/>
    </row>
    <row r="37" spans="2:17" ht="18" customHeight="1">
      <c r="B37" s="411" t="s">
        <v>171</v>
      </c>
      <c r="C37" s="119" t="s">
        <v>172</v>
      </c>
      <c r="D37" s="390" t="s">
        <v>173</v>
      </c>
      <c r="E37" s="391" t="s">
        <v>133</v>
      </c>
      <c r="F37" s="392" t="s">
        <v>98</v>
      </c>
      <c r="G37" s="446"/>
      <c r="H37" s="448"/>
      <c r="I37" s="2"/>
      <c r="J37" s="427"/>
      <c r="K37" s="388"/>
      <c r="L37" s="426"/>
      <c r="M37" s="428"/>
      <c r="N37" s="249"/>
      <c r="P37" s="555"/>
      <c r="Q37" s="555"/>
    </row>
    <row r="38" spans="2:17" ht="18" customHeight="1">
      <c r="B38" s="279"/>
      <c r="C38" s="245" t="s">
        <v>248</v>
      </c>
      <c r="D38" s="403">
        <v>60000</v>
      </c>
      <c r="E38" s="273" t="s">
        <v>188</v>
      </c>
      <c r="F38" s="570">
        <f>D38*K33</f>
        <v>120120000</v>
      </c>
      <c r="G38" s="443"/>
      <c r="H38" s="448"/>
      <c r="I38" s="2"/>
      <c r="J38" s="387">
        <v>500000</v>
      </c>
      <c r="K38" s="388">
        <v>1</v>
      </c>
      <c r="L38" s="426" t="s">
        <v>191</v>
      </c>
      <c r="M38" s="389"/>
      <c r="N38" s="249"/>
      <c r="P38" s="555">
        <v>50000</v>
      </c>
      <c r="Q38" s="555"/>
    </row>
    <row r="39" spans="2:17" ht="18" customHeight="1">
      <c r="B39" s="279"/>
      <c r="C39" s="425" t="s">
        <v>249</v>
      </c>
      <c r="D39" s="403">
        <v>3000</v>
      </c>
      <c r="E39" s="273" t="s">
        <v>188</v>
      </c>
      <c r="F39" s="410">
        <f>D39*K34</f>
        <v>6006000</v>
      </c>
      <c r="G39" s="443"/>
      <c r="H39" s="455"/>
      <c r="I39" s="2"/>
      <c r="J39" s="387"/>
      <c r="K39" s="388"/>
      <c r="L39" s="426"/>
      <c r="M39" s="370"/>
      <c r="N39" s="265"/>
      <c r="P39" s="555"/>
      <c r="Q39" s="555"/>
    </row>
    <row r="40" spans="2:17" ht="18" customHeight="1">
      <c r="B40" s="279"/>
      <c r="C40" s="425" t="s">
        <v>267</v>
      </c>
      <c r="D40" s="385">
        <v>800</v>
      </c>
      <c r="E40" s="245" t="s">
        <v>266</v>
      </c>
      <c r="F40" s="410">
        <f>D40*D7</f>
        <v>18313600</v>
      </c>
      <c r="G40" s="457"/>
      <c r="H40" s="448"/>
      <c r="I40" s="2"/>
      <c r="J40" s="387">
        <v>516000</v>
      </c>
      <c r="K40" s="388">
        <v>1</v>
      </c>
      <c r="L40" s="426" t="s">
        <v>238</v>
      </c>
      <c r="M40" s="370"/>
      <c r="N40" s="433"/>
      <c r="P40" s="555"/>
      <c r="Q40" s="555"/>
    </row>
    <row r="41" spans="2:17" ht="18" customHeight="1">
      <c r="B41" s="279"/>
      <c r="C41" s="425" t="s">
        <v>250</v>
      </c>
      <c r="D41" s="385">
        <v>400</v>
      </c>
      <c r="E41" s="245" t="s">
        <v>266</v>
      </c>
      <c r="F41" s="410">
        <f>D41*D7</f>
        <v>9156800</v>
      </c>
      <c r="G41" s="504"/>
      <c r="H41" s="448"/>
      <c r="I41" s="2"/>
      <c r="J41" s="387">
        <v>437500</v>
      </c>
      <c r="K41" s="388">
        <v>1</v>
      </c>
      <c r="L41" s="426" t="s">
        <v>238</v>
      </c>
      <c r="M41" s="370"/>
      <c r="N41" s="433"/>
      <c r="P41" s="555"/>
      <c r="Q41" s="555"/>
    </row>
    <row r="42" spans="2:17" ht="18" customHeight="1">
      <c r="B42" s="279"/>
      <c r="C42" s="245" t="s">
        <v>350</v>
      </c>
      <c r="D42" s="403"/>
      <c r="E42" s="245"/>
      <c r="F42" s="410">
        <v>450000</v>
      </c>
      <c r="G42" s="443"/>
      <c r="H42" s="451"/>
      <c r="I42" s="2"/>
      <c r="J42" s="387">
        <v>294500</v>
      </c>
      <c r="K42" s="388">
        <v>1</v>
      </c>
      <c r="L42" s="426" t="s">
        <v>238</v>
      </c>
      <c r="M42" s="702" t="s">
        <v>239</v>
      </c>
      <c r="N42" s="703"/>
      <c r="P42" s="555"/>
      <c r="Q42" s="555"/>
    </row>
    <row r="43" spans="2:17" ht="18" customHeight="1">
      <c r="B43" s="280"/>
      <c r="C43" s="268"/>
      <c r="D43" s="269"/>
      <c r="E43" s="268"/>
      <c r="F43" s="270"/>
      <c r="G43" s="444"/>
      <c r="H43" s="448"/>
      <c r="I43" s="2"/>
      <c r="J43" s="387">
        <f>125000</f>
        <v>125000</v>
      </c>
      <c r="K43" s="388">
        <v>1</v>
      </c>
      <c r="L43" s="426" t="s">
        <v>240</v>
      </c>
      <c r="M43" s="434"/>
      <c r="N43" s="435"/>
      <c r="P43" s="555"/>
      <c r="Q43" s="555"/>
    </row>
    <row r="44" spans="2:17" ht="18" customHeight="1">
      <c r="B44" s="414"/>
      <c r="C44" s="415"/>
      <c r="D44" s="415"/>
      <c r="E44" s="416" t="s">
        <v>189</v>
      </c>
      <c r="F44" s="417">
        <f>SUM(F38:F43)</f>
        <v>154046400</v>
      </c>
      <c r="G44" s="445">
        <f>F44/D12</f>
        <v>76946.253746253744</v>
      </c>
      <c r="H44" s="448"/>
      <c r="I44" s="2"/>
      <c r="J44" s="430"/>
      <c r="K44" s="431"/>
      <c r="L44" s="432"/>
      <c r="M44" s="434"/>
      <c r="N44" s="434"/>
      <c r="P44" s="555"/>
      <c r="Q44" s="555"/>
    </row>
    <row r="45" spans="2:17" ht="18" customHeight="1">
      <c r="B45" s="411" t="s">
        <v>221</v>
      </c>
      <c r="C45" s="119" t="s">
        <v>112</v>
      </c>
      <c r="D45" s="390" t="s">
        <v>173</v>
      </c>
      <c r="E45" s="391" t="s">
        <v>133</v>
      </c>
      <c r="F45" s="392" t="s">
        <v>98</v>
      </c>
      <c r="G45" s="446"/>
      <c r="H45" s="448"/>
      <c r="I45" s="2"/>
      <c r="J45" s="430"/>
      <c r="K45" s="431"/>
      <c r="L45" s="432"/>
      <c r="M45" s="434"/>
      <c r="N45" s="434"/>
      <c r="P45" s="555"/>
      <c r="Q45" s="555"/>
    </row>
    <row r="46" spans="2:17" ht="18" customHeight="1">
      <c r="B46" s="279"/>
      <c r="C46" s="579" t="s">
        <v>384</v>
      </c>
      <c r="D46" s="692">
        <v>423.5</v>
      </c>
      <c r="E46" s="245" t="s">
        <v>266</v>
      </c>
      <c r="F46" s="571">
        <f>D46*D7</f>
        <v>9694762</v>
      </c>
      <c r="G46" s="443"/>
      <c r="H46" s="448"/>
      <c r="I46" s="2"/>
      <c r="J46" s="430"/>
      <c r="K46" s="431"/>
      <c r="L46" s="432"/>
      <c r="M46" s="434"/>
      <c r="N46" s="434"/>
      <c r="P46" s="555"/>
      <c r="Q46" s="576">
        <f>F46</f>
        <v>9694762</v>
      </c>
    </row>
    <row r="47" spans="2:17" ht="18" customHeight="1">
      <c r="B47" s="280"/>
      <c r="C47" s="268" t="s">
        <v>345</v>
      </c>
      <c r="D47" s="269">
        <v>0</v>
      </c>
      <c r="E47" s="245" t="s">
        <v>188</v>
      </c>
      <c r="F47" s="270">
        <f>D47*G7</f>
        <v>0</v>
      </c>
      <c r="G47" s="444"/>
      <c r="H47" s="448"/>
      <c r="I47" s="2"/>
      <c r="J47" s="430">
        <v>517778</v>
      </c>
      <c r="K47" s="431">
        <v>1</v>
      </c>
      <c r="L47" s="432" t="s">
        <v>241</v>
      </c>
      <c r="M47" s="389"/>
      <c r="N47" s="428"/>
      <c r="P47" s="555"/>
      <c r="Q47" s="576">
        <f>F47</f>
        <v>0</v>
      </c>
    </row>
    <row r="48" spans="2:17" ht="18" customHeight="1">
      <c r="B48" s="413"/>
      <c r="C48" s="268" t="s">
        <v>255</v>
      </c>
      <c r="D48" s="385" t="s">
        <v>342</v>
      </c>
      <c r="E48" s="268"/>
      <c r="F48" s="654">
        <v>2500000</v>
      </c>
      <c r="G48" s="444"/>
      <c r="H48" s="448"/>
      <c r="I48" s="2"/>
      <c r="J48" s="430"/>
      <c r="K48" s="431"/>
      <c r="L48" s="432"/>
      <c r="M48" s="389"/>
      <c r="N48" s="428"/>
      <c r="P48" s="555"/>
      <c r="Q48" s="555"/>
    </row>
    <row r="49" spans="2:17" ht="18" customHeight="1">
      <c r="B49" s="413"/>
      <c r="C49" s="268" t="s">
        <v>256</v>
      </c>
      <c r="D49" s="385"/>
      <c r="E49" s="268"/>
      <c r="F49" s="386">
        <v>0</v>
      </c>
      <c r="G49" s="444"/>
      <c r="H49" s="448"/>
      <c r="I49" s="2"/>
      <c r="J49" s="430"/>
      <c r="K49" s="431"/>
      <c r="L49" s="432"/>
      <c r="M49" s="389"/>
      <c r="N49" s="428"/>
      <c r="P49" s="555"/>
      <c r="Q49" s="555"/>
    </row>
    <row r="50" spans="2:17" ht="18" customHeight="1">
      <c r="B50" s="413"/>
      <c r="C50" s="268" t="s">
        <v>257</v>
      </c>
      <c r="D50" s="385"/>
      <c r="E50" s="268"/>
      <c r="F50" s="386"/>
      <c r="G50" s="444"/>
      <c r="H50" s="369"/>
      <c r="I50" s="2"/>
      <c r="J50" s="430"/>
      <c r="K50" s="431"/>
      <c r="L50" s="432"/>
      <c r="M50" s="389"/>
      <c r="N50" s="428"/>
      <c r="P50" s="555"/>
      <c r="Q50" s="555"/>
    </row>
    <row r="51" spans="2:17" ht="18" customHeight="1">
      <c r="B51" s="413"/>
      <c r="C51" s="370" t="s">
        <v>219</v>
      </c>
      <c r="D51" s="456">
        <f>F51</f>
        <v>0</v>
      </c>
      <c r="E51" s="429" t="s">
        <v>199</v>
      </c>
      <c r="F51" s="428">
        <v>0</v>
      </c>
      <c r="G51" s="458" t="s">
        <v>258</v>
      </c>
      <c r="H51" s="369"/>
      <c r="I51" s="2"/>
      <c r="J51" s="430"/>
      <c r="K51" s="431"/>
      <c r="L51" s="432"/>
      <c r="M51" s="389"/>
      <c r="N51" s="428"/>
      <c r="P51" s="555"/>
      <c r="Q51" s="555"/>
    </row>
    <row r="52" spans="2:17" ht="18" customHeight="1">
      <c r="B52" s="413"/>
      <c r="C52" s="370" t="s">
        <v>259</v>
      </c>
      <c r="D52" s="456">
        <f t="shared" ref="D52:D54" si="8">F52</f>
        <v>0</v>
      </c>
      <c r="E52" s="429" t="s">
        <v>198</v>
      </c>
      <c r="F52" s="428">
        <v>0</v>
      </c>
      <c r="G52" s="458"/>
      <c r="H52" s="369"/>
      <c r="I52" s="2"/>
      <c r="J52" s="430"/>
      <c r="K52" s="431"/>
      <c r="L52" s="432"/>
      <c r="M52" s="389"/>
      <c r="N52" s="428"/>
      <c r="P52" s="555"/>
      <c r="Q52" s="555"/>
    </row>
    <row r="53" spans="2:17" ht="18" customHeight="1">
      <c r="B53" s="413"/>
      <c r="C53" s="425" t="s">
        <v>260</v>
      </c>
      <c r="D53" s="456">
        <f t="shared" si="8"/>
        <v>0</v>
      </c>
      <c r="E53" s="429" t="s">
        <v>198</v>
      </c>
      <c r="F53" s="428">
        <v>0</v>
      </c>
      <c r="G53" s="436"/>
      <c r="H53" s="451"/>
      <c r="I53" t="s">
        <v>201</v>
      </c>
      <c r="J53" s="430"/>
      <c r="K53" s="388">
        <v>1</v>
      </c>
      <c r="L53" s="426" t="s">
        <v>241</v>
      </c>
      <c r="M53" s="389"/>
      <c r="N53" s="428"/>
      <c r="P53" s="555"/>
      <c r="Q53" s="555"/>
    </row>
    <row r="54" spans="2:17" ht="18" customHeight="1">
      <c r="B54" s="413"/>
      <c r="C54" s="425" t="s">
        <v>261</v>
      </c>
      <c r="D54" s="456">
        <f t="shared" si="8"/>
        <v>0</v>
      </c>
      <c r="E54" s="429" t="s">
        <v>198</v>
      </c>
      <c r="F54" s="428">
        <v>0</v>
      </c>
      <c r="G54" s="436"/>
      <c r="H54" s="451"/>
      <c r="I54" s="2"/>
      <c r="J54" s="387">
        <v>58000</v>
      </c>
      <c r="K54" s="388"/>
      <c r="L54" s="426"/>
      <c r="M54" s="389"/>
      <c r="N54" s="428"/>
      <c r="P54" s="555"/>
      <c r="Q54" s="555"/>
    </row>
    <row r="55" spans="2:17" ht="18" customHeight="1">
      <c r="B55" s="413"/>
      <c r="C55" s="425" t="s">
        <v>378</v>
      </c>
      <c r="D55" s="456">
        <f>9000*G7</f>
        <v>18018000</v>
      </c>
      <c r="E55" s="429" t="s">
        <v>198</v>
      </c>
      <c r="F55" s="428">
        <f>D55</f>
        <v>18018000</v>
      </c>
      <c r="G55" s="436"/>
      <c r="H55" s="451"/>
      <c r="I55" s="2"/>
      <c r="J55" s="513"/>
      <c r="K55" s="370"/>
      <c r="L55" s="285" t="s">
        <v>189</v>
      </c>
      <c r="M55" s="420">
        <f>SUM(M33:M37)</f>
        <v>0</v>
      </c>
      <c r="N55" s="420">
        <f>SUM(N33:N37)</f>
        <v>0</v>
      </c>
      <c r="P55" s="555"/>
      <c r="Q55" s="577">
        <f>D55</f>
        <v>18018000</v>
      </c>
    </row>
    <row r="56" spans="2:17" ht="18" customHeight="1">
      <c r="B56" s="414"/>
      <c r="C56" s="415"/>
      <c r="D56" s="415"/>
      <c r="E56" s="416" t="s">
        <v>189</v>
      </c>
      <c r="F56" s="417">
        <f>SUM(F46:F55)</f>
        <v>30212762</v>
      </c>
      <c r="G56" s="445" t="s">
        <v>237</v>
      </c>
      <c r="H56" s="451"/>
      <c r="I56" s="2"/>
      <c r="Q56" s="575">
        <f>SUM(Q22:Q55)</f>
        <v>37482884.252890289</v>
      </c>
    </row>
    <row r="57" spans="2:17" ht="18" customHeight="1">
      <c r="B57" s="413"/>
      <c r="C57" s="283" t="s">
        <v>180</v>
      </c>
      <c r="D57" s="370"/>
      <c r="E57" s="393"/>
      <c r="F57" s="420">
        <f>F36+F44+F56</f>
        <v>325331059.19999999</v>
      </c>
      <c r="G57" s="447">
        <f>F57/G7</f>
        <v>162503.02657342656</v>
      </c>
      <c r="H57" s="369"/>
      <c r="I57" s="2"/>
      <c r="M57" s="693" t="s">
        <v>268</v>
      </c>
      <c r="N57" s="693"/>
    </row>
    <row r="58" spans="2:17" ht="18" customHeight="1">
      <c r="B58" s="413"/>
      <c r="C58" s="245" t="s">
        <v>100</v>
      </c>
      <c r="D58" s="505">
        <v>0.1</v>
      </c>
      <c r="E58" s="393"/>
      <c r="F58" s="420">
        <f>F57*D58*0</f>
        <v>0</v>
      </c>
      <c r="G58" s="447"/>
      <c r="H58" s="448"/>
      <c r="I58" s="2"/>
      <c r="J58" s="506"/>
      <c r="M58" s="516">
        <v>0</v>
      </c>
      <c r="N58" s="517">
        <v>9</v>
      </c>
    </row>
    <row r="59" spans="2:17" ht="18" customHeight="1">
      <c r="B59" s="413"/>
      <c r="C59" s="418" t="s">
        <v>222</v>
      </c>
      <c r="D59" s="370"/>
      <c r="E59" s="393"/>
      <c r="F59" s="420">
        <f>F57+F58</f>
        <v>325331059.19999999</v>
      </c>
      <c r="G59" s="447">
        <f>F59/G7</f>
        <v>162503.02657342656</v>
      </c>
      <c r="H59" s="451"/>
      <c r="I59" s="2"/>
      <c r="M59" s="516">
        <v>15</v>
      </c>
      <c r="N59" s="517">
        <v>10</v>
      </c>
    </row>
    <row r="60" spans="2:17" ht="18" customHeight="1">
      <c r="B60" s="412" t="s">
        <v>340</v>
      </c>
      <c r="C60" s="586"/>
      <c r="D60" s="586"/>
      <c r="E60" s="587"/>
      <c r="F60" s="587"/>
      <c r="G60" s="588"/>
      <c r="H60" s="585"/>
      <c r="I60" s="2"/>
      <c r="M60" s="516">
        <v>20</v>
      </c>
      <c r="N60" s="517">
        <v>12</v>
      </c>
    </row>
    <row r="61" spans="2:17" ht="18" customHeight="1">
      <c r="B61" s="413"/>
      <c r="C61" s="555" t="s">
        <v>341</v>
      </c>
      <c r="D61" s="581"/>
      <c r="E61" s="583"/>
      <c r="F61" s="584">
        <v>0</v>
      </c>
      <c r="G61" s="589"/>
      <c r="H61" s="509"/>
      <c r="M61" s="516">
        <v>30</v>
      </c>
      <c r="N61" s="517">
        <v>13.5</v>
      </c>
    </row>
    <row r="62" spans="2:17" ht="18" customHeight="1">
      <c r="B62" s="413"/>
      <c r="C62" s="283" t="s">
        <v>352</v>
      </c>
      <c r="D62" s="581"/>
      <c r="E62" s="583"/>
      <c r="F62" s="584">
        <f>F57-F61</f>
        <v>325331059.19999999</v>
      </c>
      <c r="G62" s="589"/>
      <c r="H62" s="510"/>
      <c r="M62" s="516">
        <v>40</v>
      </c>
      <c r="N62" s="517">
        <v>15</v>
      </c>
    </row>
    <row r="63" spans="2:17" ht="18" customHeight="1">
      <c r="B63" s="413"/>
      <c r="C63" s="245" t="s">
        <v>100</v>
      </c>
      <c r="D63" s="581"/>
      <c r="E63" s="583"/>
      <c r="F63" s="584">
        <v>0</v>
      </c>
      <c r="G63" s="589"/>
      <c r="H63" s="582"/>
    </row>
    <row r="64" spans="2:17" ht="25.5" customHeight="1">
      <c r="B64" s="414"/>
      <c r="C64" s="419" t="s">
        <v>223</v>
      </c>
      <c r="D64" s="415"/>
      <c r="E64" s="416"/>
      <c r="F64" s="417">
        <f>F62+F63</f>
        <v>325331059.19999999</v>
      </c>
      <c r="G64" s="445">
        <f>F64/D12</f>
        <v>162503.02657342656</v>
      </c>
      <c r="H64" s="450"/>
    </row>
    <row r="65" spans="2:14" ht="45" customHeight="1">
      <c r="F65" s="566"/>
      <c r="G65" s="560"/>
      <c r="H65" s="450"/>
    </row>
    <row r="66" spans="2:14" ht="18" customHeight="1" thickBot="1">
      <c r="B66" s="281" t="s">
        <v>181</v>
      </c>
      <c r="C66" s="282"/>
      <c r="D66" s="266"/>
      <c r="F66" s="222"/>
      <c r="G66" s="259"/>
      <c r="H66" s="448"/>
    </row>
    <row r="67" spans="2:14" ht="18" customHeight="1">
      <c r="B67" s="464" t="s">
        <v>113</v>
      </c>
      <c r="C67" s="465" t="s">
        <v>263</v>
      </c>
      <c r="D67" s="564">
        <f>D8</f>
        <v>18</v>
      </c>
      <c r="E67" s="466" t="s">
        <v>5</v>
      </c>
      <c r="F67" s="508">
        <f>D17</f>
        <v>25</v>
      </c>
      <c r="G67" s="511"/>
      <c r="H67" s="448"/>
      <c r="I67" s="259" t="s">
        <v>217</v>
      </c>
    </row>
    <row r="68" spans="2:14" ht="18" customHeight="1">
      <c r="B68" s="467"/>
      <c r="C68" s="468" t="s">
        <v>102</v>
      </c>
      <c r="D68" s="469">
        <v>0</v>
      </c>
      <c r="E68" s="470" t="s">
        <v>22</v>
      </c>
      <c r="F68" s="471"/>
      <c r="G68" s="472" t="s">
        <v>109</v>
      </c>
      <c r="H68" s="452"/>
      <c r="I68" t="s">
        <v>201</v>
      </c>
      <c r="K68" s="284" t="str">
        <f>K32</f>
        <v>数量</v>
      </c>
      <c r="L68" s="284" t="str">
        <f>L32</f>
        <v>単位</v>
      </c>
      <c r="M68" s="284" t="str">
        <f>M32</f>
        <v>コスト総額</v>
      </c>
      <c r="N68" s="284" t="str">
        <f>N32</f>
        <v>利益</v>
      </c>
    </row>
    <row r="69" spans="2:14" ht="33" customHeight="1">
      <c r="B69" s="473"/>
      <c r="C69" s="474" t="s">
        <v>76</v>
      </c>
      <c r="D69" s="475">
        <v>1.4999999999999999E-2</v>
      </c>
      <c r="E69" s="470"/>
      <c r="F69" s="471"/>
      <c r="G69" s="472"/>
      <c r="H69" s="448"/>
      <c r="I69" s="259"/>
      <c r="J69" s="284" t="str">
        <f>J32</f>
        <v>コスト単価</v>
      </c>
      <c r="K69" s="426">
        <v>1</v>
      </c>
      <c r="L69" s="286" t="s">
        <v>192</v>
      </c>
      <c r="M69" s="261">
        <f>J70*K69</f>
        <v>0</v>
      </c>
      <c r="N69" s="249">
        <f>F61-M69</f>
        <v>0</v>
      </c>
    </row>
    <row r="70" spans="2:14" ht="29.25" customHeight="1" thickBot="1">
      <c r="B70" s="476" t="s">
        <v>177</v>
      </c>
      <c r="C70" s="477" t="s">
        <v>172</v>
      </c>
      <c r="D70" s="533" t="s">
        <v>178</v>
      </c>
      <c r="E70" s="478"/>
      <c r="F70" s="479"/>
      <c r="G70" s="480"/>
      <c r="H70" s="448"/>
      <c r="I70" s="2"/>
      <c r="J70" s="659">
        <v>0</v>
      </c>
      <c r="L70" s="271" t="s">
        <v>189</v>
      </c>
      <c r="M70" s="263">
        <f>SUM(M69:M69)</f>
        <v>0</v>
      </c>
      <c r="N70" s="263">
        <f>SUM(N69:N69)</f>
        <v>0</v>
      </c>
    </row>
    <row r="71" spans="2:14" ht="36" customHeight="1" thickTop="1" thickBot="1">
      <c r="B71" s="481"/>
      <c r="C71" s="469" t="s">
        <v>30</v>
      </c>
      <c r="D71" s="535">
        <v>40000</v>
      </c>
      <c r="E71" s="532" t="s">
        <v>31</v>
      </c>
      <c r="F71" s="487">
        <f>D71*12</f>
        <v>480000</v>
      </c>
      <c r="G71" s="472" t="s">
        <v>281</v>
      </c>
      <c r="H71" s="448"/>
      <c r="I71" s="93"/>
      <c r="L71" s="223"/>
      <c r="M71" s="222"/>
      <c r="N71" s="267"/>
    </row>
    <row r="72" spans="2:14" ht="32" customHeight="1" thickTop="1">
      <c r="B72" s="481"/>
      <c r="C72" s="482" t="s">
        <v>253</v>
      </c>
      <c r="D72" s="534">
        <v>0</v>
      </c>
      <c r="E72" s="470" t="s">
        <v>252</v>
      </c>
      <c r="F72" s="487"/>
      <c r="G72" s="507" t="s">
        <v>262</v>
      </c>
      <c r="H72" s="448"/>
      <c r="I72" s="93"/>
      <c r="L72" s="223"/>
      <c r="M72" s="267"/>
      <c r="N72" s="267"/>
    </row>
    <row r="73" spans="2:14" ht="29.25" customHeight="1">
      <c r="B73" s="481"/>
      <c r="C73" s="482" t="s">
        <v>104</v>
      </c>
      <c r="D73" s="483">
        <v>13500</v>
      </c>
      <c r="E73" s="470" t="s">
        <v>31</v>
      </c>
      <c r="F73" s="487">
        <f>D73*12</f>
        <v>162000</v>
      </c>
      <c r="G73" s="484" t="s">
        <v>110</v>
      </c>
      <c r="H73" s="448"/>
      <c r="I73" s="93"/>
      <c r="N73" s="267"/>
    </row>
    <row r="74" spans="2:14" ht="21.75" customHeight="1">
      <c r="B74" s="481"/>
      <c r="C74" s="482" t="s">
        <v>108</v>
      </c>
      <c r="D74" s="485">
        <v>1000</v>
      </c>
      <c r="E74" s="470" t="s">
        <v>31</v>
      </c>
      <c r="F74" s="487">
        <f>D74*12</f>
        <v>12000</v>
      </c>
      <c r="G74" s="507" t="s">
        <v>200</v>
      </c>
      <c r="H74" s="453"/>
      <c r="I74" s="2"/>
      <c r="N74" s="267"/>
    </row>
    <row r="75" spans="2:14" ht="18" customHeight="1">
      <c r="B75" s="481"/>
      <c r="C75" s="482" t="s">
        <v>101</v>
      </c>
      <c r="D75" s="486">
        <v>0.03</v>
      </c>
      <c r="E75" s="470"/>
      <c r="F75" s="487"/>
      <c r="G75" s="458"/>
      <c r="H75" s="454"/>
      <c r="I75" s="2"/>
      <c r="N75" s="267"/>
    </row>
    <row r="76" spans="2:14" ht="18" customHeight="1">
      <c r="B76" s="481"/>
      <c r="C76" s="482" t="s">
        <v>196</v>
      </c>
      <c r="D76" s="680">
        <v>0</v>
      </c>
      <c r="E76" s="470" t="s">
        <v>115</v>
      </c>
      <c r="F76" s="487">
        <f>IF(F61=0,D76*D7,0)</f>
        <v>0</v>
      </c>
      <c r="G76" s="458"/>
      <c r="H76" s="448" t="s">
        <v>244</v>
      </c>
      <c r="I76" s="2"/>
      <c r="N76" s="267"/>
    </row>
    <row r="77" spans="2:14" ht="27" customHeight="1">
      <c r="B77" s="481"/>
      <c r="C77" s="468" t="s">
        <v>325</v>
      </c>
      <c r="D77" s="485">
        <v>600000</v>
      </c>
      <c r="E77" s="470" t="s">
        <v>99</v>
      </c>
      <c r="F77" s="487">
        <f>D77</f>
        <v>600000</v>
      </c>
      <c r="G77" s="458"/>
      <c r="H77" s="448"/>
      <c r="I77" s="2"/>
      <c r="N77" s="267"/>
    </row>
    <row r="78" spans="2:14" ht="18" customHeight="1">
      <c r="B78" s="481"/>
      <c r="C78" s="468" t="s">
        <v>83</v>
      </c>
      <c r="D78" s="488">
        <v>0</v>
      </c>
      <c r="E78" s="470" t="s">
        <v>110</v>
      </c>
      <c r="F78" s="487">
        <v>0</v>
      </c>
      <c r="G78" s="458" t="s">
        <v>111</v>
      </c>
      <c r="H78" s="448"/>
      <c r="I78" s="2"/>
      <c r="N78" s="267"/>
    </row>
    <row r="79" spans="2:14" ht="26.25" customHeight="1">
      <c r="B79" s="481"/>
      <c r="C79" s="489" t="s">
        <v>251</v>
      </c>
      <c r="D79" s="543"/>
      <c r="E79" s="470"/>
      <c r="F79" s="565">
        <f>事業収支!F42</f>
        <v>1483883.8</v>
      </c>
      <c r="G79" s="490">
        <v>7.0000000000000007E-2</v>
      </c>
      <c r="H79" s="448"/>
      <c r="I79" s="2"/>
      <c r="K79" s="244"/>
      <c r="L79" s="244"/>
      <c r="N79" s="267"/>
    </row>
    <row r="80" spans="2:14" ht="24" customHeight="1">
      <c r="B80" s="481"/>
      <c r="C80" s="482" t="s">
        <v>327</v>
      </c>
      <c r="D80" s="567">
        <f>SUM(D81:D83)</f>
        <v>2656064.6747999997</v>
      </c>
      <c r="E80" s="470"/>
      <c r="F80" s="546">
        <f>D80</f>
        <v>2656064.6747999997</v>
      </c>
      <c r="G80" s="492"/>
      <c r="H80" s="448"/>
      <c r="I80" s="2"/>
      <c r="J80" s="244"/>
      <c r="N80" s="267"/>
    </row>
    <row r="81" spans="2:14" ht="18" customHeight="1">
      <c r="B81" s="481"/>
      <c r="C81" s="482" t="s">
        <v>323</v>
      </c>
      <c r="D81" s="544">
        <f>(F36+F44)*G81</f>
        <v>2360946.3775999998</v>
      </c>
      <c r="E81" s="470"/>
      <c r="F81" s="660" t="s">
        <v>380</v>
      </c>
      <c r="G81" s="661">
        <v>8.0000000000000002E-3</v>
      </c>
      <c r="H81" s="448"/>
      <c r="I81" s="2"/>
      <c r="N81" s="267"/>
    </row>
    <row r="82" spans="2:14" ht="18" customHeight="1">
      <c r="B82" s="481"/>
      <c r="C82" s="482" t="s">
        <v>326</v>
      </c>
      <c r="D82" s="544">
        <f>(F36+F44)*G82</f>
        <v>295118.29719999997</v>
      </c>
      <c r="E82" s="470"/>
      <c r="F82" s="660" t="s">
        <v>381</v>
      </c>
      <c r="G82" s="661">
        <v>1E-3</v>
      </c>
      <c r="H82" s="448"/>
      <c r="I82" s="2"/>
      <c r="N82" s="267"/>
    </row>
    <row r="83" spans="2:14" ht="18" customHeight="1">
      <c r="B83" s="481"/>
      <c r="C83" s="482" t="s">
        <v>324</v>
      </c>
      <c r="D83" s="544">
        <v>0</v>
      </c>
      <c r="E83" s="470"/>
      <c r="F83" s="491"/>
      <c r="G83" s="492"/>
      <c r="H83" s="448"/>
      <c r="I83" s="2"/>
      <c r="N83" s="267"/>
    </row>
    <row r="84" spans="2:14" ht="21" customHeight="1">
      <c r="B84" s="481"/>
      <c r="C84" s="482" t="s">
        <v>74</v>
      </c>
      <c r="D84" s="545">
        <v>0</v>
      </c>
      <c r="E84" s="470"/>
      <c r="F84" s="471"/>
      <c r="G84" s="458"/>
      <c r="H84" s="448"/>
      <c r="I84" s="2"/>
      <c r="N84" s="223"/>
    </row>
    <row r="85" spans="2:14" ht="18" customHeight="1">
      <c r="B85" s="481"/>
      <c r="C85" s="482" t="s">
        <v>6</v>
      </c>
      <c r="D85" s="469">
        <v>17</v>
      </c>
      <c r="E85" s="470" t="s">
        <v>7</v>
      </c>
      <c r="F85" s="471"/>
      <c r="G85" s="458"/>
      <c r="H85" s="448"/>
      <c r="I85" s="2"/>
      <c r="N85" s="223"/>
    </row>
    <row r="86" spans="2:14" ht="37" customHeight="1">
      <c r="B86" s="481"/>
      <c r="C86" s="493" t="s">
        <v>8</v>
      </c>
      <c r="D86" s="494">
        <v>0</v>
      </c>
      <c r="E86" s="470"/>
      <c r="F86" s="471"/>
      <c r="G86" s="458"/>
      <c r="H86" s="448"/>
      <c r="I86" s="2"/>
      <c r="N86" s="223"/>
    </row>
    <row r="87" spans="2:14" ht="27" customHeight="1">
      <c r="B87" s="481"/>
      <c r="C87" s="482" t="s">
        <v>9</v>
      </c>
      <c r="D87" s="495">
        <v>2.7E-2</v>
      </c>
      <c r="E87" s="470"/>
      <c r="F87" s="471"/>
      <c r="G87" s="458"/>
      <c r="H87" s="448"/>
      <c r="I87" s="2"/>
      <c r="N87" s="223"/>
    </row>
    <row r="88" spans="2:14" ht="18" customHeight="1">
      <c r="B88" s="481"/>
      <c r="C88" s="482" t="s">
        <v>10</v>
      </c>
      <c r="D88" s="469">
        <v>8</v>
      </c>
      <c r="E88" s="470" t="s">
        <v>11</v>
      </c>
      <c r="F88" s="471"/>
      <c r="G88" s="458"/>
      <c r="H88" s="448"/>
      <c r="I88" s="2"/>
      <c r="N88" s="223"/>
    </row>
    <row r="89" spans="2:14" ht="18" customHeight="1">
      <c r="B89" s="481"/>
      <c r="C89" s="482" t="s">
        <v>229</v>
      </c>
      <c r="D89" s="486">
        <v>0</v>
      </c>
      <c r="E89" s="646" t="s">
        <v>231</v>
      </c>
      <c r="F89" s="647" t="s">
        <v>232</v>
      </c>
      <c r="G89" s="645"/>
      <c r="H89" s="448"/>
      <c r="I89" s="2"/>
      <c r="N89" s="223"/>
    </row>
    <row r="90" spans="2:14" ht="18" customHeight="1">
      <c r="B90" s="481"/>
      <c r="C90" s="482" t="s">
        <v>230</v>
      </c>
      <c r="D90" s="486"/>
      <c r="E90" s="648">
        <f>D7</f>
        <v>22892</v>
      </c>
      <c r="F90" s="655">
        <v>2340</v>
      </c>
      <c r="G90" s="658"/>
      <c r="H90" s="448"/>
      <c r="N90" s="223"/>
    </row>
    <row r="91" spans="2:14" ht="18" customHeight="1">
      <c r="B91" s="481"/>
      <c r="C91" s="482" t="s">
        <v>168</v>
      </c>
      <c r="D91" s="495">
        <v>0.255</v>
      </c>
      <c r="E91" s="470"/>
      <c r="F91" s="471"/>
      <c r="G91" s="458" t="s">
        <v>205</v>
      </c>
    </row>
    <row r="92" spans="2:14" ht="18" customHeight="1" thickBot="1">
      <c r="B92" s="481"/>
      <c r="C92" s="482" t="s">
        <v>204</v>
      </c>
      <c r="D92" s="495">
        <v>5.2999999999999999E-2</v>
      </c>
      <c r="E92" s="470"/>
      <c r="F92" s="471"/>
      <c r="G92" s="458" t="s">
        <v>205</v>
      </c>
    </row>
    <row r="93" spans="2:14" ht="18" customHeight="1">
      <c r="B93" s="481"/>
      <c r="C93" s="482" t="s">
        <v>210</v>
      </c>
      <c r="D93" s="495">
        <v>5.8000000000000003E-2</v>
      </c>
      <c r="E93" s="470"/>
      <c r="F93" s="471"/>
      <c r="G93" s="458" t="s">
        <v>211</v>
      </c>
      <c r="H93" s="503"/>
    </row>
    <row r="94" spans="2:14" ht="18" customHeight="1" thickBot="1">
      <c r="B94" s="496"/>
      <c r="C94" s="497" t="s">
        <v>208</v>
      </c>
      <c r="D94" s="498">
        <v>0.14699999999999999</v>
      </c>
      <c r="E94" s="499"/>
      <c r="F94" s="500"/>
      <c r="G94" s="501" t="s">
        <v>209</v>
      </c>
      <c r="H94" s="502"/>
    </row>
    <row r="95" spans="2:14" ht="18" customHeight="1" thickBot="1"/>
    <row r="96" spans="2:14" ht="26.5" customHeight="1">
      <c r="C96" s="649" t="s">
        <v>254</v>
      </c>
      <c r="D96" s="650" t="s">
        <v>233</v>
      </c>
      <c r="E96" s="650" t="s">
        <v>234</v>
      </c>
      <c r="F96" s="650" t="s">
        <v>235</v>
      </c>
      <c r="G96" s="651" t="s">
        <v>236</v>
      </c>
    </row>
    <row r="97" spans="3:8" ht="18" customHeight="1" thickBot="1">
      <c r="C97" s="656">
        <v>0.9</v>
      </c>
      <c r="D97" s="688">
        <v>0.7</v>
      </c>
      <c r="E97" s="652">
        <v>1.4E-2</v>
      </c>
      <c r="F97" s="657">
        <v>0</v>
      </c>
      <c r="G97" s="653">
        <f>F90*E90*C97*D97*(E97+F97)</f>
        <v>472463.40960000001</v>
      </c>
    </row>
    <row r="98" spans="3:8" ht="18" customHeight="1">
      <c r="H98"/>
    </row>
    <row r="99" spans="3:8" ht="18" customHeight="1">
      <c r="H99"/>
    </row>
    <row r="100" spans="3:8" ht="18" customHeight="1">
      <c r="H100"/>
    </row>
    <row r="101" spans="3:8" ht="18" customHeight="1">
      <c r="H101"/>
    </row>
    <row r="102" spans="3:8" ht="18" customHeight="1">
      <c r="H102"/>
    </row>
    <row r="103" spans="3:8" ht="18" customHeight="1">
      <c r="H103"/>
    </row>
  </sheetData>
  <mergeCells count="10">
    <mergeCell ref="M57:N57"/>
    <mergeCell ref="E3:F3"/>
    <mergeCell ref="E4:F4"/>
    <mergeCell ref="D20:E20"/>
    <mergeCell ref="B10:C10"/>
    <mergeCell ref="D10:E10"/>
    <mergeCell ref="M42:N42"/>
    <mergeCell ref="E7:F7"/>
    <mergeCell ref="E8:F8"/>
    <mergeCell ref="H7:I8"/>
  </mergeCells>
  <phoneticPr fontId="28"/>
  <dataValidations count="5">
    <dataValidation type="list" allowBlank="1" showInputMessage="1" showErrorMessage="1" sqref="D17" xr:uid="{ED883786-5248-874A-9D68-89C9E885F046}">
      <formula1>"20,25"</formula1>
    </dataValidation>
    <dataValidation type="list" allowBlank="1" showInputMessage="1" showErrorMessage="1" sqref="D18" xr:uid="{CEB66478-52F5-1F46-B1CB-23661444DD75}">
      <formula1>"1,2"</formula1>
    </dataValidation>
    <dataValidation type="list" allowBlank="1" showInputMessage="1" showErrorMessage="1" sqref="K7" xr:uid="{0A8B4A2F-C4D5-0A43-9B6C-7292F662E935}">
      <formula1>"0,15,20,30,40"</formula1>
    </dataValidation>
    <dataValidation type="list" allowBlank="1" showInputMessage="1" showErrorMessage="1" sqref="K9" xr:uid="{FB912290-2367-4739-AAB6-B4295E23E5E3}">
      <formula1>"100%,95%,90%,85%,80%,75%"</formula1>
    </dataValidation>
    <dataValidation type="list" allowBlank="1" showInputMessage="1" showErrorMessage="1" sqref="G23:G24" xr:uid="{52F4FE01-52BE-8148-97B5-032A5F101095}">
      <formula1>"SolarEdge SE33.3K,SUN2000-50KTL-NHM3"</formula1>
    </dataValidation>
  </dataValidations>
  <printOptions horizontalCentered="1" verticalCentered="1" gridLines="1"/>
  <pageMargins left="0.78740157480314965" right="0.78740157480314965" top="0.98425196850393704" bottom="0.98425196850393704" header="0.51181102362204722" footer="0.51181102362204722"/>
  <pageSetup paperSize="9" scale="75" firstPageNumber="0" orientation="portrait" r:id="rId1"/>
  <headerFooter alignWithMargins="0"/>
  <rowBreaks count="1" manualBreakCount="1">
    <brk id="65" min="1" max="6" man="1"/>
  </rowBreaks>
  <colBreaks count="1" manualBreakCount="1">
    <brk id="9"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A64E-EA73-40BF-8DFA-9A9886609A84}">
  <dimension ref="B1:R66"/>
  <sheetViews>
    <sheetView zoomScale="110" zoomScaleNormal="110" zoomScaleSheetLayoutView="80" workbookViewId="0">
      <selection activeCell="D20" sqref="D20"/>
    </sheetView>
  </sheetViews>
  <sheetFormatPr defaultColWidth="8.6328125" defaultRowHeight="13"/>
  <cols>
    <col min="1" max="1" width="3" style="591" customWidth="1"/>
    <col min="2" max="2" width="6.1796875" style="591" customWidth="1"/>
    <col min="3" max="3" width="34" style="591" customWidth="1"/>
    <col min="4" max="15" width="12.81640625" style="591" customWidth="1"/>
    <col min="16" max="16" width="15" style="591" customWidth="1"/>
    <col min="17" max="17" width="17.453125" style="591" customWidth="1"/>
    <col min="18" max="18" width="4.453125" style="591" customWidth="1"/>
    <col min="19" max="19" width="12.1796875" style="591" customWidth="1"/>
    <col min="20" max="20" width="13.1796875" style="591" customWidth="1"/>
    <col min="21" max="21" width="13.6328125" style="591" customWidth="1"/>
    <col min="22" max="23" width="10.6328125" style="591" customWidth="1"/>
    <col min="24" max="24" width="16.6328125" style="591" customWidth="1"/>
    <col min="25" max="25" width="12.6328125" style="591" customWidth="1"/>
    <col min="26" max="26" width="11.6328125" style="591" customWidth="1"/>
    <col min="27" max="16384" width="8.6328125" style="591"/>
  </cols>
  <sheetData>
    <row r="1" spans="2:18" ht="12.5" customHeight="1"/>
    <row r="2" spans="2:18" ht="21" customHeight="1">
      <c r="B2" s="712" t="s">
        <v>358</v>
      </c>
      <c r="C2" s="712"/>
      <c r="D2" s="712"/>
      <c r="E2" s="712"/>
      <c r="F2" s="712"/>
      <c r="G2" s="712"/>
      <c r="H2" s="712"/>
      <c r="I2" s="712"/>
      <c r="J2" s="712"/>
      <c r="K2" s="712"/>
      <c r="L2" s="712"/>
      <c r="M2" s="712"/>
      <c r="N2" s="712"/>
      <c r="O2" s="712"/>
      <c r="P2" s="712"/>
      <c r="Q2" s="712"/>
    </row>
    <row r="3" spans="2:18" ht="29.25" customHeight="1">
      <c r="C3" s="591" t="s">
        <v>283</v>
      </c>
      <c r="D3" s="644" t="s">
        <v>379</v>
      </c>
      <c r="I3" s="591" t="s">
        <v>284</v>
      </c>
      <c r="N3" s="713" t="s">
        <v>285</v>
      </c>
      <c r="O3" s="713"/>
      <c r="P3" s="713"/>
      <c r="Q3" s="591" t="s">
        <v>359</v>
      </c>
    </row>
    <row r="4" spans="2:18" ht="21" customHeight="1">
      <c r="C4" s="591" t="s">
        <v>360</v>
      </c>
      <c r="D4" s="592" t="s">
        <v>361</v>
      </c>
      <c r="L4" s="591" t="s">
        <v>286</v>
      </c>
    </row>
    <row r="5" spans="2:18" ht="13.5" thickBot="1"/>
    <row r="6" spans="2:18" ht="22.5" customHeight="1">
      <c r="B6" s="593"/>
      <c r="C6" s="689" t="s">
        <v>362</v>
      </c>
      <c r="D6" s="594" t="s">
        <v>287</v>
      </c>
      <c r="E6" s="594" t="s">
        <v>288</v>
      </c>
      <c r="F6" s="594" t="s">
        <v>289</v>
      </c>
      <c r="G6" s="594" t="s">
        <v>290</v>
      </c>
      <c r="H6" s="594" t="s">
        <v>291</v>
      </c>
      <c r="I6" s="594" t="s">
        <v>292</v>
      </c>
      <c r="J6" s="594" t="s">
        <v>293</v>
      </c>
      <c r="K6" s="594" t="s">
        <v>294</v>
      </c>
      <c r="L6" s="594" t="s">
        <v>295</v>
      </c>
      <c r="M6" s="594" t="s">
        <v>296</v>
      </c>
      <c r="N6" s="595" t="s">
        <v>297</v>
      </c>
      <c r="O6" s="595" t="s">
        <v>298</v>
      </c>
      <c r="P6" s="594" t="s">
        <v>299</v>
      </c>
      <c r="Q6" s="596"/>
    </row>
    <row r="7" spans="2:18" ht="24.75" customHeight="1">
      <c r="B7" s="597">
        <v>1</v>
      </c>
      <c r="C7" s="598" t="s">
        <v>363</v>
      </c>
      <c r="D7" s="670">
        <v>1.91</v>
      </c>
      <c r="E7" s="670">
        <v>3.01</v>
      </c>
      <c r="F7" s="670">
        <v>3.85</v>
      </c>
      <c r="G7" s="670">
        <v>4.71</v>
      </c>
      <c r="H7" s="670">
        <v>5.0599999999999996</v>
      </c>
      <c r="I7" s="670">
        <v>4.9800000000000004</v>
      </c>
      <c r="J7" s="670">
        <v>4.5</v>
      </c>
      <c r="K7" s="670">
        <v>4.7300000000000004</v>
      </c>
      <c r="L7" s="670">
        <v>4.1500000000000004</v>
      </c>
      <c r="M7" s="670">
        <v>3.41</v>
      </c>
      <c r="N7" s="670">
        <v>2.23</v>
      </c>
      <c r="O7" s="670">
        <v>1.53</v>
      </c>
      <c r="P7" s="599">
        <v>3.67</v>
      </c>
      <c r="Q7" s="600" t="s">
        <v>300</v>
      </c>
    </row>
    <row r="8" spans="2:18" ht="24" customHeight="1">
      <c r="B8" s="597">
        <v>2</v>
      </c>
      <c r="C8" s="598" t="s">
        <v>301</v>
      </c>
      <c r="D8" s="599">
        <v>31</v>
      </c>
      <c r="E8" s="599">
        <v>28</v>
      </c>
      <c r="F8" s="599">
        <v>31</v>
      </c>
      <c r="G8" s="599">
        <v>30</v>
      </c>
      <c r="H8" s="599">
        <v>31</v>
      </c>
      <c r="I8" s="599">
        <v>30</v>
      </c>
      <c r="J8" s="599">
        <v>31</v>
      </c>
      <c r="K8" s="599">
        <v>31</v>
      </c>
      <c r="L8" s="599">
        <v>30</v>
      </c>
      <c r="M8" s="599">
        <v>31</v>
      </c>
      <c r="N8" s="599">
        <v>30</v>
      </c>
      <c r="O8" s="599">
        <v>31</v>
      </c>
      <c r="P8" s="599">
        <f>SUM(D8:O8)</f>
        <v>365</v>
      </c>
      <c r="Q8" s="601" t="s">
        <v>302</v>
      </c>
    </row>
    <row r="9" spans="2:18" ht="24" customHeight="1">
      <c r="B9" s="597">
        <v>4</v>
      </c>
      <c r="C9" s="598" t="s">
        <v>303</v>
      </c>
      <c r="D9" s="671">
        <v>-2</v>
      </c>
      <c r="E9" s="671">
        <v>-1.4</v>
      </c>
      <c r="F9" s="671">
        <v>2</v>
      </c>
      <c r="G9" s="671">
        <v>8.1999999999999993</v>
      </c>
      <c r="H9" s="671">
        <v>14.4</v>
      </c>
      <c r="I9" s="671">
        <v>18.8</v>
      </c>
      <c r="J9" s="671">
        <v>22.5</v>
      </c>
      <c r="K9" s="671">
        <v>23.6</v>
      </c>
      <c r="L9" s="671">
        <v>19</v>
      </c>
      <c r="M9" s="671">
        <v>12</v>
      </c>
      <c r="N9" s="671">
        <v>5.7</v>
      </c>
      <c r="O9" s="671">
        <v>0.2</v>
      </c>
      <c r="P9" s="602">
        <v>10.199999999999999</v>
      </c>
      <c r="Q9" s="601" t="s">
        <v>364</v>
      </c>
    </row>
    <row r="10" spans="2:18" ht="24" customHeight="1">
      <c r="B10" s="597">
        <v>5</v>
      </c>
      <c r="C10" s="598" t="s">
        <v>304</v>
      </c>
      <c r="D10" s="599">
        <f t="shared" ref="D10:O10" si="0">D7*D8</f>
        <v>59.21</v>
      </c>
      <c r="E10" s="599">
        <f t="shared" si="0"/>
        <v>84.28</v>
      </c>
      <c r="F10" s="599">
        <f t="shared" si="0"/>
        <v>119.35000000000001</v>
      </c>
      <c r="G10" s="599">
        <f t="shared" si="0"/>
        <v>141.30000000000001</v>
      </c>
      <c r="H10" s="599">
        <f t="shared" si="0"/>
        <v>156.85999999999999</v>
      </c>
      <c r="I10" s="599">
        <f t="shared" si="0"/>
        <v>149.4</v>
      </c>
      <c r="J10" s="599">
        <f t="shared" si="0"/>
        <v>139.5</v>
      </c>
      <c r="K10" s="599">
        <f t="shared" si="0"/>
        <v>146.63000000000002</v>
      </c>
      <c r="L10" s="599">
        <f t="shared" si="0"/>
        <v>124.50000000000001</v>
      </c>
      <c r="M10" s="599">
        <f t="shared" si="0"/>
        <v>105.71000000000001</v>
      </c>
      <c r="N10" s="599">
        <f t="shared" si="0"/>
        <v>66.900000000000006</v>
      </c>
      <c r="O10" s="599">
        <f t="shared" si="0"/>
        <v>47.43</v>
      </c>
      <c r="P10" s="599">
        <f>AVERAGE(D10:O10)</f>
        <v>111.75583333333334</v>
      </c>
      <c r="Q10" s="601" t="s">
        <v>305</v>
      </c>
    </row>
    <row r="11" spans="2:18" ht="24" customHeight="1">
      <c r="B11" s="597">
        <v>6</v>
      </c>
      <c r="C11" s="603" t="s">
        <v>306</v>
      </c>
      <c r="D11" s="604">
        <v>22</v>
      </c>
      <c r="E11" s="604">
        <v>22</v>
      </c>
      <c r="F11" s="604">
        <v>20</v>
      </c>
      <c r="G11" s="604">
        <v>18</v>
      </c>
      <c r="H11" s="604">
        <v>16</v>
      </c>
      <c r="I11" s="604">
        <v>14</v>
      </c>
      <c r="J11" s="604">
        <v>14</v>
      </c>
      <c r="K11" s="604">
        <v>16</v>
      </c>
      <c r="L11" s="604">
        <v>18</v>
      </c>
      <c r="M11" s="604">
        <v>20</v>
      </c>
      <c r="N11" s="604">
        <v>22</v>
      </c>
      <c r="O11" s="604">
        <v>22</v>
      </c>
      <c r="P11" s="605">
        <f>AVERAGE(D11:O11)</f>
        <v>18.666666666666668</v>
      </c>
      <c r="Q11" s="601" t="s">
        <v>307</v>
      </c>
    </row>
    <row r="12" spans="2:18" ht="24" customHeight="1">
      <c r="B12" s="597">
        <v>7</v>
      </c>
      <c r="C12" s="598" t="s">
        <v>308</v>
      </c>
      <c r="D12" s="606">
        <f>D9+D11</f>
        <v>20</v>
      </c>
      <c r="E12" s="606">
        <f t="shared" ref="E12:O12" si="1">E9+E11</f>
        <v>20.6</v>
      </c>
      <c r="F12" s="606">
        <f t="shared" si="1"/>
        <v>22</v>
      </c>
      <c r="G12" s="606">
        <f t="shared" si="1"/>
        <v>26.2</v>
      </c>
      <c r="H12" s="606">
        <f t="shared" si="1"/>
        <v>30.4</v>
      </c>
      <c r="I12" s="606">
        <f t="shared" si="1"/>
        <v>32.799999999999997</v>
      </c>
      <c r="J12" s="606">
        <f t="shared" si="1"/>
        <v>36.5</v>
      </c>
      <c r="K12" s="606">
        <f t="shared" si="1"/>
        <v>39.6</v>
      </c>
      <c r="L12" s="606">
        <f t="shared" si="1"/>
        <v>37</v>
      </c>
      <c r="M12" s="606">
        <f t="shared" si="1"/>
        <v>32</v>
      </c>
      <c r="N12" s="606">
        <f t="shared" si="1"/>
        <v>27.7</v>
      </c>
      <c r="O12" s="606">
        <f t="shared" si="1"/>
        <v>22.2</v>
      </c>
      <c r="P12" s="606">
        <f>AVERAGE(D12:O12)</f>
        <v>28.916666666666668</v>
      </c>
      <c r="Q12" s="601" t="s">
        <v>309</v>
      </c>
    </row>
    <row r="13" spans="2:18" ht="24" customHeight="1">
      <c r="B13" s="597">
        <v>8</v>
      </c>
      <c r="C13" s="598" t="s">
        <v>310</v>
      </c>
      <c r="D13" s="607">
        <f t="shared" ref="D13:O13" si="2">1+(D12-25)*$I$25</f>
        <v>1.0145</v>
      </c>
      <c r="E13" s="607">
        <f t="shared" si="2"/>
        <v>1.0127600000000001</v>
      </c>
      <c r="F13" s="607">
        <f t="shared" si="2"/>
        <v>1.0086999999999999</v>
      </c>
      <c r="G13" s="607">
        <f t="shared" si="2"/>
        <v>0.99651999999999996</v>
      </c>
      <c r="H13" s="607">
        <f t="shared" si="2"/>
        <v>0.98433999999999999</v>
      </c>
      <c r="I13" s="607">
        <f t="shared" si="2"/>
        <v>0.97738000000000003</v>
      </c>
      <c r="J13" s="607">
        <f t="shared" si="2"/>
        <v>0.96665000000000001</v>
      </c>
      <c r="K13" s="607">
        <f t="shared" si="2"/>
        <v>0.95765999999999996</v>
      </c>
      <c r="L13" s="607">
        <f t="shared" si="2"/>
        <v>0.96520000000000006</v>
      </c>
      <c r="M13" s="607">
        <f t="shared" si="2"/>
        <v>0.97970000000000002</v>
      </c>
      <c r="N13" s="607">
        <f t="shared" si="2"/>
        <v>0.99217</v>
      </c>
      <c r="O13" s="607">
        <f t="shared" si="2"/>
        <v>1.0081199999999999</v>
      </c>
      <c r="P13" s="599"/>
      <c r="Q13" s="601"/>
    </row>
    <row r="14" spans="2:18" ht="24" customHeight="1">
      <c r="B14" s="597">
        <v>9</v>
      </c>
      <c r="C14" s="598" t="s">
        <v>311</v>
      </c>
      <c r="D14" s="608">
        <f t="shared" ref="D14:O14" si="3">$I$24*D13*(IF($D$21="Solar Edge",$M$19,$M$20))</f>
        <v>0.83910939532905993</v>
      </c>
      <c r="E14" s="608">
        <f t="shared" si="3"/>
        <v>0.8376702131231728</v>
      </c>
      <c r="F14" s="608">
        <f t="shared" si="3"/>
        <v>0.83431212130943588</v>
      </c>
      <c r="G14" s="608">
        <f t="shared" si="3"/>
        <v>0.82423784586822546</v>
      </c>
      <c r="H14" s="608">
        <f t="shared" si="3"/>
        <v>0.81416357042701515</v>
      </c>
      <c r="I14" s="608">
        <f t="shared" si="3"/>
        <v>0.80840684160346632</v>
      </c>
      <c r="J14" s="608">
        <f t="shared" si="3"/>
        <v>0.79953188466716196</v>
      </c>
      <c r="K14" s="608">
        <f t="shared" si="3"/>
        <v>0.79209610993674473</v>
      </c>
      <c r="L14" s="608">
        <f t="shared" si="3"/>
        <v>0.79833256616225601</v>
      </c>
      <c r="M14" s="608">
        <f t="shared" si="3"/>
        <v>0.81032575121131589</v>
      </c>
      <c r="N14" s="608">
        <f t="shared" si="3"/>
        <v>0.82063989035350748</v>
      </c>
      <c r="O14" s="608">
        <f t="shared" si="3"/>
        <v>0.83383239390747343</v>
      </c>
      <c r="P14" s="609"/>
      <c r="Q14" s="610"/>
    </row>
    <row r="15" spans="2:18" ht="24" customHeight="1" thickBot="1">
      <c r="B15" s="611">
        <v>10</v>
      </c>
      <c r="C15" s="612" t="s">
        <v>312</v>
      </c>
      <c r="D15" s="613">
        <f>$D$18*D10*D14</f>
        <v>99466.701929462142</v>
      </c>
      <c r="E15" s="613">
        <f t="shared" ref="E15:O15" si="4">$D$18*E10*E14</f>
        <v>141338.88881516605</v>
      </c>
      <c r="F15" s="613">
        <f t="shared" si="4"/>
        <v>199349.45365991892</v>
      </c>
      <c r="G15" s="613">
        <f t="shared" si="4"/>
        <v>233162.54485760292</v>
      </c>
      <c r="H15" s="613">
        <f t="shared" si="4"/>
        <v>255674.81470967754</v>
      </c>
      <c r="I15" s="613">
        <f t="shared" si="4"/>
        <v>241793.51623538684</v>
      </c>
      <c r="J15" s="613">
        <f t="shared" si="4"/>
        <v>223292.46521796033</v>
      </c>
      <c r="K15" s="613">
        <f t="shared" si="4"/>
        <v>232522.39530524987</v>
      </c>
      <c r="L15" s="613">
        <f t="shared" si="4"/>
        <v>198983.59378337616</v>
      </c>
      <c r="M15" s="613">
        <f t="shared" si="4"/>
        <v>171490.3893914175</v>
      </c>
      <c r="N15" s="682">
        <f t="shared" si="4"/>
        <v>109911.41894662862</v>
      </c>
      <c r="O15" s="685">
        <f t="shared" si="4"/>
        <v>79176.438226948987</v>
      </c>
      <c r="P15" s="686">
        <f>SUM(D15:O15)</f>
        <v>2186162.6210787958</v>
      </c>
      <c r="Q15" s="684" t="s">
        <v>387</v>
      </c>
      <c r="R15" s="614"/>
    </row>
    <row r="16" spans="2:18" ht="24" customHeight="1" thickBot="1">
      <c r="N16" s="681" t="s">
        <v>386</v>
      </c>
      <c r="O16" s="690">
        <v>0.05</v>
      </c>
      <c r="P16" s="691">
        <f>P15*(1+O16)</f>
        <v>2295470.7521327357</v>
      </c>
      <c r="Q16" s="683" t="s">
        <v>388</v>
      </c>
    </row>
    <row r="17" spans="3:18" ht="24" customHeight="1">
      <c r="C17" s="615" t="s">
        <v>313</v>
      </c>
      <c r="D17" s="667">
        <v>650</v>
      </c>
      <c r="F17" s="539" t="s">
        <v>314</v>
      </c>
      <c r="G17" s="539"/>
      <c r="H17" s="539"/>
    </row>
    <row r="18" spans="3:18" ht="24" customHeight="1">
      <c r="C18" s="616" t="s">
        <v>365</v>
      </c>
      <c r="D18" s="617">
        <f>D19*D17/1000</f>
        <v>2002</v>
      </c>
      <c r="F18" s="714" t="s">
        <v>315</v>
      </c>
      <c r="G18" s="714"/>
      <c r="H18" s="714"/>
      <c r="I18" s="714"/>
      <c r="K18" s="618" t="s">
        <v>366</v>
      </c>
      <c r="L18" s="618" t="s">
        <v>367</v>
      </c>
      <c r="M18" s="618" t="s">
        <v>368</v>
      </c>
      <c r="N18" s="618" t="s">
        <v>369</v>
      </c>
    </row>
    <row r="19" spans="3:18" ht="24" customHeight="1">
      <c r="C19" s="616" t="s">
        <v>316</v>
      </c>
      <c r="D19" s="668">
        <v>3080</v>
      </c>
      <c r="F19" s="711" t="s">
        <v>317</v>
      </c>
      <c r="G19" s="711"/>
      <c r="H19" s="711"/>
      <c r="I19" s="540">
        <v>0.97</v>
      </c>
      <c r="K19" s="619" t="s">
        <v>370</v>
      </c>
      <c r="L19" s="620">
        <v>0.98099999999999998</v>
      </c>
      <c r="M19" s="621">
        <v>1.1000000000000001</v>
      </c>
      <c r="N19" s="621">
        <v>33.299999999999997</v>
      </c>
      <c r="R19" s="622"/>
    </row>
    <row r="20" spans="3:18" ht="24" customHeight="1">
      <c r="C20" s="623" t="s">
        <v>371</v>
      </c>
      <c r="D20" s="687">
        <v>1200</v>
      </c>
      <c r="F20" s="711" t="s">
        <v>318</v>
      </c>
      <c r="G20" s="711"/>
      <c r="H20" s="711"/>
      <c r="I20" s="541">
        <v>0.95</v>
      </c>
      <c r="K20" s="619" t="s">
        <v>372</v>
      </c>
      <c r="L20" s="620">
        <v>0.98440000000000005</v>
      </c>
      <c r="M20" s="621">
        <v>1</v>
      </c>
      <c r="N20" s="621">
        <v>50</v>
      </c>
      <c r="R20" s="622"/>
    </row>
    <row r="21" spans="3:18" ht="24" customHeight="1" thickBot="1">
      <c r="C21" s="624" t="s">
        <v>373</v>
      </c>
      <c r="D21" s="669" t="s">
        <v>374</v>
      </c>
      <c r="F21" s="711" t="s">
        <v>319</v>
      </c>
      <c r="G21" s="711"/>
      <c r="H21" s="711"/>
      <c r="I21" s="540">
        <v>0.97</v>
      </c>
    </row>
    <row r="22" spans="3:18" ht="24" customHeight="1">
      <c r="C22" s="625"/>
      <c r="F22" s="711" t="s">
        <v>320</v>
      </c>
      <c r="G22" s="711"/>
      <c r="H22" s="711"/>
      <c r="I22" s="540">
        <v>0.94</v>
      </c>
      <c r="R22" s="626"/>
    </row>
    <row r="23" spans="3:18" ht="24" customHeight="1">
      <c r="F23" s="711" t="s">
        <v>375</v>
      </c>
      <c r="G23" s="711"/>
      <c r="H23" s="711"/>
      <c r="I23" s="542">
        <f>IF(D21="Solar Edge",L19,L20)</f>
        <v>0.98440000000000005</v>
      </c>
    </row>
    <row r="24" spans="3:18" ht="24" customHeight="1">
      <c r="F24" s="711" t="s">
        <v>321</v>
      </c>
      <c r="G24" s="711"/>
      <c r="H24" s="711"/>
      <c r="I24" s="540">
        <f>I19*I20*I21*I22*I23</f>
        <v>0.82711621027999993</v>
      </c>
    </row>
    <row r="25" spans="3:18" ht="24" customHeight="1">
      <c r="F25" s="711" t="s">
        <v>322</v>
      </c>
      <c r="G25" s="711"/>
      <c r="H25" s="711"/>
      <c r="I25" s="542">
        <v>-2.8999999999999998E-3</v>
      </c>
    </row>
    <row r="26" spans="3:18" ht="24" customHeight="1"/>
    <row r="27" spans="3:18" ht="24" customHeight="1">
      <c r="R27" s="627"/>
    </row>
    <row r="28" spans="3:18" ht="32" customHeight="1">
      <c r="C28" s="715" t="s">
        <v>376</v>
      </c>
      <c r="D28" s="715"/>
      <c r="E28" s="715"/>
      <c r="F28" s="715"/>
      <c r="G28" s="715"/>
      <c r="H28" s="715"/>
      <c r="I28" s="715"/>
      <c r="J28" s="715"/>
      <c r="K28" s="715"/>
      <c r="L28" s="715"/>
      <c r="M28" s="715"/>
      <c r="N28" s="715"/>
      <c r="O28" s="715"/>
      <c r="P28" s="715"/>
      <c r="Q28" s="715"/>
      <c r="R28" s="627"/>
    </row>
    <row r="29" spans="3:18" ht="32" customHeight="1"/>
    <row r="30" spans="3:18" ht="32" customHeight="1"/>
    <row r="31" spans="3:18" ht="32" customHeight="1"/>
    <row r="32" spans="3:18" ht="32" customHeight="1"/>
    <row r="33" ht="32" customHeight="1"/>
    <row r="34" ht="32" customHeight="1"/>
    <row r="35" ht="32" customHeight="1"/>
    <row r="36" ht="54" customHeight="1"/>
    <row r="37" ht="32" customHeight="1"/>
    <row r="38" ht="24" customHeight="1"/>
    <row r="39" ht="24" customHeight="1"/>
    <row r="40" ht="24" customHeight="1"/>
    <row r="41" ht="24" customHeight="1"/>
    <row r="42" ht="24" customHeight="1"/>
    <row r="43" ht="24" customHeight="1"/>
    <row r="44" ht="26" customHeight="1"/>
    <row r="45" ht="26" customHeight="1"/>
    <row r="46" ht="26" customHeight="1"/>
    <row r="47" ht="26" customHeight="1"/>
    <row r="48" ht="26" customHeight="1"/>
    <row r="49" ht="26" customHeight="1"/>
    <row r="50" ht="29" customHeight="1"/>
    <row r="51" ht="49.25" customHeight="1"/>
    <row r="52" ht="26" customHeight="1"/>
    <row r="53" ht="26" customHeight="1"/>
    <row r="54" ht="26" customHeight="1"/>
    <row r="55" ht="26" customHeight="1"/>
    <row r="56" ht="25.25" customHeight="1"/>
    <row r="57" ht="27" customHeight="1"/>
    <row r="58" ht="23" customHeight="1"/>
    <row r="59" ht="23" customHeight="1"/>
    <row r="60" ht="19.25" customHeight="1"/>
    <row r="61" ht="35" customHeight="1"/>
    <row r="63" ht="88.25" customHeight="1"/>
    <row r="66" ht="57" customHeight="1"/>
  </sheetData>
  <mergeCells count="11">
    <mergeCell ref="F22:H22"/>
    <mergeCell ref="F23:H23"/>
    <mergeCell ref="F24:H24"/>
    <mergeCell ref="F25:H25"/>
    <mergeCell ref="C28:Q28"/>
    <mergeCell ref="F21:H21"/>
    <mergeCell ref="B2:Q2"/>
    <mergeCell ref="N3:P3"/>
    <mergeCell ref="F18:I18"/>
    <mergeCell ref="F19:H19"/>
    <mergeCell ref="F20:H20"/>
  </mergeCells>
  <phoneticPr fontId="28"/>
  <dataValidations count="1">
    <dataValidation type="list" allowBlank="1" showInputMessage="1" showErrorMessage="1" sqref="D21" xr:uid="{05AB8A56-6B87-4DA5-996D-A76EC70607E5}">
      <formula1>"HUAWEI,Solar Edge"</formula1>
    </dataValidation>
  </dataValidations>
  <hyperlinks>
    <hyperlink ref="D3" r:id="rId1" xr:uid="{73D06ECC-8D8A-49B4-A507-91BA0699AFDC}"/>
    <hyperlink ref="D4" r:id="rId2" xr:uid="{2A947E31-2DCA-4B6D-B8D1-36937529E02D}"/>
  </hyperlinks>
  <printOptions horizontalCentered="1"/>
  <pageMargins left="0.70866141732283472" right="0.70866141732283472" top="0.74803149606299213" bottom="0.74803149606299213" header="0.31496062992125984" footer="0.31496062992125984"/>
  <pageSetup paperSize="8" scale="75" orientation="landscape" r:id="rId3"/>
  <colBreaks count="1" manualBreakCount="1">
    <brk id="17" min="1" max="31"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E81"/>
  <sheetViews>
    <sheetView showGridLines="0" topLeftCell="A47" zoomScaleNormal="100" zoomScalePageLayoutView="80" workbookViewId="0">
      <selection activeCell="AE43" sqref="AE43"/>
    </sheetView>
  </sheetViews>
  <sheetFormatPr defaultColWidth="9" defaultRowHeight="14"/>
  <cols>
    <col min="1" max="1" width="2.36328125" style="2" customWidth="1"/>
    <col min="2" max="2" width="2.81640625" style="2" customWidth="1"/>
    <col min="3" max="3" width="27" style="2" customWidth="1"/>
    <col min="4" max="4" width="16.81640625" style="2" customWidth="1"/>
    <col min="5" max="5" width="13.6328125" style="2" customWidth="1"/>
    <col min="6" max="31" width="13.453125" style="120" customWidth="1"/>
    <col min="32" max="16384" width="9" style="2"/>
  </cols>
  <sheetData>
    <row r="1" spans="2:31" ht="13.5" customHeight="1" thickBot="1">
      <c r="AD1" s="733" t="s">
        <v>94</v>
      </c>
      <c r="AE1" s="733"/>
    </row>
    <row r="2" spans="2:31" ht="38.25" customHeight="1" thickTop="1" thickBot="1">
      <c r="B2" s="740" t="s">
        <v>136</v>
      </c>
      <c r="C2" s="741"/>
      <c r="D2" s="742"/>
      <c r="E2" s="303" t="s">
        <v>13</v>
      </c>
      <c r="F2" s="304">
        <v>1</v>
      </c>
      <c r="G2" s="304">
        <v>2</v>
      </c>
      <c r="H2" s="304">
        <v>3</v>
      </c>
      <c r="I2" s="304">
        <v>4</v>
      </c>
      <c r="J2" s="304">
        <v>5</v>
      </c>
      <c r="K2" s="304">
        <v>6</v>
      </c>
      <c r="L2" s="304">
        <v>7</v>
      </c>
      <c r="M2" s="304">
        <v>8</v>
      </c>
      <c r="N2" s="304">
        <v>9</v>
      </c>
      <c r="O2" s="304">
        <v>10</v>
      </c>
      <c r="P2" s="304">
        <v>11</v>
      </c>
      <c r="Q2" s="304">
        <v>12</v>
      </c>
      <c r="R2" s="304">
        <v>13</v>
      </c>
      <c r="S2" s="304">
        <v>14</v>
      </c>
      <c r="T2" s="304">
        <v>15</v>
      </c>
      <c r="U2" s="304">
        <v>16</v>
      </c>
      <c r="V2" s="304">
        <v>17</v>
      </c>
      <c r="W2" s="304">
        <v>18</v>
      </c>
      <c r="X2" s="304">
        <v>19</v>
      </c>
      <c r="Y2" s="304">
        <v>20</v>
      </c>
      <c r="Z2" s="304">
        <v>21</v>
      </c>
      <c r="AA2" s="304">
        <v>22</v>
      </c>
      <c r="AB2" s="140">
        <v>23</v>
      </c>
      <c r="AC2" s="140">
        <v>24</v>
      </c>
      <c r="AD2" s="140">
        <v>25</v>
      </c>
      <c r="AE2" s="139" t="s">
        <v>14</v>
      </c>
    </row>
    <row r="3" spans="2:31" ht="38.25" customHeight="1" thickTop="1">
      <c r="B3" s="732" t="s">
        <v>123</v>
      </c>
      <c r="C3" s="732"/>
      <c r="D3" s="322">
        <f>償却資産税の計算!C9</f>
        <v>2002</v>
      </c>
      <c r="E3" s="305"/>
      <c r="F3" s="306"/>
      <c r="G3" s="306"/>
      <c r="H3" s="306"/>
      <c r="I3" s="306"/>
      <c r="J3" s="306"/>
      <c r="K3" s="306"/>
      <c r="L3" s="306"/>
      <c r="M3" s="306"/>
      <c r="N3" s="306"/>
      <c r="O3" s="306"/>
      <c r="P3" s="306"/>
      <c r="Q3" s="306"/>
      <c r="R3" s="306"/>
      <c r="S3" s="306"/>
      <c r="T3" s="306"/>
      <c r="U3" s="306"/>
      <c r="V3" s="306"/>
      <c r="W3" s="306"/>
      <c r="X3" s="306"/>
      <c r="Y3" s="306"/>
      <c r="Z3" s="306"/>
      <c r="AA3" s="306"/>
      <c r="AB3" s="122"/>
      <c r="AC3" s="122"/>
      <c r="AD3" s="122"/>
      <c r="AE3" s="122"/>
    </row>
    <row r="4" spans="2:31" ht="38.25" customHeight="1">
      <c r="B4" s="323"/>
      <c r="C4" s="324" t="s">
        <v>120</v>
      </c>
      <c r="D4" s="325">
        <f>初期条件!F64</f>
        <v>325331059.19999999</v>
      </c>
      <c r="E4" s="307" t="s">
        <v>220</v>
      </c>
      <c r="F4" s="384">
        <f>初期条件!F15</f>
        <v>97599317</v>
      </c>
      <c r="G4" s="308"/>
      <c r="H4" s="308"/>
      <c r="I4" s="308"/>
      <c r="J4" s="308"/>
      <c r="K4" s="308"/>
      <c r="L4" s="308"/>
      <c r="M4" s="308"/>
      <c r="N4" s="308"/>
      <c r="O4" s="308"/>
      <c r="P4" s="308"/>
      <c r="Q4" s="308"/>
      <c r="R4" s="308"/>
      <c r="S4" s="308"/>
      <c r="T4" s="308"/>
      <c r="U4" s="308"/>
      <c r="V4" s="308"/>
      <c r="W4" s="308"/>
      <c r="X4" s="308"/>
      <c r="Y4" s="308"/>
      <c r="Z4" s="308"/>
      <c r="AA4" s="308"/>
      <c r="AB4" s="123"/>
      <c r="AC4" s="123"/>
      <c r="AD4" s="123"/>
      <c r="AE4" s="123">
        <f>SUM(D4:AD4)</f>
        <v>422930376.19999999</v>
      </c>
    </row>
    <row r="5" spans="2:31" ht="38.25" customHeight="1">
      <c r="B5" s="720" t="s">
        <v>16</v>
      </c>
      <c r="C5" s="720"/>
      <c r="D5" s="326"/>
      <c r="E5" s="309"/>
      <c r="F5" s="310">
        <f t="shared" ref="F5:S5" si="0">SUM(F6:F8)</f>
        <v>41318473.538389243</v>
      </c>
      <c r="G5" s="310">
        <f t="shared" si="0"/>
        <v>41111881.170697294</v>
      </c>
      <c r="H5" s="310">
        <f t="shared" si="0"/>
        <v>40906321.764843807</v>
      </c>
      <c r="I5" s="310">
        <f t="shared" si="0"/>
        <v>40701790.156019591</v>
      </c>
      <c r="J5" s="310">
        <f t="shared" si="0"/>
        <v>40498281.20523949</v>
      </c>
      <c r="K5" s="310">
        <f t="shared" si="0"/>
        <v>40295789.799213298</v>
      </c>
      <c r="L5" s="310">
        <f t="shared" si="0"/>
        <v>40094310.850217231</v>
      </c>
      <c r="M5" s="310">
        <f t="shared" si="0"/>
        <v>39893839.295966141</v>
      </c>
      <c r="N5" s="310">
        <f t="shared" si="0"/>
        <v>39694370.099486314</v>
      </c>
      <c r="O5" s="310">
        <f t="shared" si="0"/>
        <v>39495898.248988882</v>
      </c>
      <c r="P5" s="310">
        <f t="shared" si="0"/>
        <v>39298418.75774394</v>
      </c>
      <c r="Q5" s="310">
        <f t="shared" si="0"/>
        <v>39101926.663955212</v>
      </c>
      <c r="R5" s="310">
        <f t="shared" si="0"/>
        <v>38906417.030635431</v>
      </c>
      <c r="S5" s="310">
        <f t="shared" si="0"/>
        <v>38711884.945482261</v>
      </c>
      <c r="T5" s="310">
        <f>SUM(T6:T8)</f>
        <v>38518325.520754844</v>
      </c>
      <c r="U5" s="310">
        <f>SUM(U6:U8)</f>
        <v>38325733.893151067</v>
      </c>
      <c r="V5" s="310">
        <f>SUM(V6:V8)</f>
        <v>38134105.223685309</v>
      </c>
      <c r="W5" s="310">
        <f>SUM(W6:W8)</f>
        <v>37943434.697566882</v>
      </c>
      <c r="X5" s="310">
        <f>SUM(X6:X8)</f>
        <v>37753717.524079047</v>
      </c>
      <c r="Y5" s="310">
        <f t="shared" ref="Y5:AD5" si="1">SUM(Y6:Y8)</f>
        <v>37564948.936458647</v>
      </c>
      <c r="Z5" s="310">
        <f t="shared" si="1"/>
        <v>37377124.191776358</v>
      </c>
      <c r="AA5" s="310">
        <f t="shared" si="1"/>
        <v>37190238.570817471</v>
      </c>
      <c r="AB5" s="124">
        <f t="shared" si="1"/>
        <v>37004287.377963386</v>
      </c>
      <c r="AC5" s="124">
        <f t="shared" si="1"/>
        <v>36819265.941073567</v>
      </c>
      <c r="AD5" s="124">
        <f t="shared" si="1"/>
        <v>36635169.611368202</v>
      </c>
      <c r="AE5" s="124">
        <f t="shared" ref="AE5:AE27" si="2">SUM(F5:AD5)</f>
        <v>973295955.01557291</v>
      </c>
    </row>
    <row r="6" spans="2:31" ht="38.25" customHeight="1">
      <c r="B6" s="327"/>
      <c r="C6" s="324" t="s">
        <v>77</v>
      </c>
      <c r="D6" s="324"/>
      <c r="E6" s="307"/>
      <c r="F6" s="311">
        <f t="shared" ref="F6:AD6" si="3">F35</f>
        <v>41318473.538389243</v>
      </c>
      <c r="G6" s="311">
        <f t="shared" si="3"/>
        <v>41111881.170697294</v>
      </c>
      <c r="H6" s="311">
        <f t="shared" si="3"/>
        <v>40906321.764843807</v>
      </c>
      <c r="I6" s="311">
        <f t="shared" si="3"/>
        <v>40701790.156019591</v>
      </c>
      <c r="J6" s="311">
        <f t="shared" si="3"/>
        <v>40498281.20523949</v>
      </c>
      <c r="K6" s="311">
        <f t="shared" si="3"/>
        <v>40295789.799213298</v>
      </c>
      <c r="L6" s="311">
        <f t="shared" si="3"/>
        <v>40094310.850217231</v>
      </c>
      <c r="M6" s="311">
        <f t="shared" si="3"/>
        <v>39893839.295966141</v>
      </c>
      <c r="N6" s="311">
        <f t="shared" si="3"/>
        <v>39694370.099486314</v>
      </c>
      <c r="O6" s="311">
        <f t="shared" si="3"/>
        <v>39495898.248988882</v>
      </c>
      <c r="P6" s="311">
        <f t="shared" si="3"/>
        <v>39298418.75774394</v>
      </c>
      <c r="Q6" s="311">
        <f t="shared" si="3"/>
        <v>39101926.663955212</v>
      </c>
      <c r="R6" s="311">
        <f t="shared" si="3"/>
        <v>38906417.030635431</v>
      </c>
      <c r="S6" s="311">
        <f t="shared" si="3"/>
        <v>38711884.945482261</v>
      </c>
      <c r="T6" s="311">
        <f t="shared" si="3"/>
        <v>38518325.520754844</v>
      </c>
      <c r="U6" s="311">
        <f t="shared" si="3"/>
        <v>38325733.893151067</v>
      </c>
      <c r="V6" s="311">
        <f t="shared" si="3"/>
        <v>38134105.223685309</v>
      </c>
      <c r="W6" s="311">
        <f t="shared" si="3"/>
        <v>37943434.697566882</v>
      </c>
      <c r="X6" s="311">
        <f t="shared" si="3"/>
        <v>37753717.524079047</v>
      </c>
      <c r="Y6" s="311">
        <f t="shared" si="3"/>
        <v>37564948.936458647</v>
      </c>
      <c r="Z6" s="311">
        <f t="shared" si="3"/>
        <v>37377124.191776358</v>
      </c>
      <c r="AA6" s="311">
        <f t="shared" si="3"/>
        <v>37190238.570817471</v>
      </c>
      <c r="AB6" s="125">
        <f t="shared" si="3"/>
        <v>37004287.377963386</v>
      </c>
      <c r="AC6" s="125">
        <f t="shared" si="3"/>
        <v>36819265.941073567</v>
      </c>
      <c r="AD6" s="125">
        <f t="shared" si="3"/>
        <v>36635169.611368202</v>
      </c>
      <c r="AE6" s="125">
        <f t="shared" si="2"/>
        <v>973295955.01557291</v>
      </c>
    </row>
    <row r="7" spans="2:31" ht="38.25" customHeight="1">
      <c r="B7" s="327"/>
      <c r="C7" s="324"/>
      <c r="D7" s="324"/>
      <c r="E7" s="307"/>
      <c r="F7" s="311">
        <f t="shared" ref="F7:AD7" si="4">F36</f>
        <v>0</v>
      </c>
      <c r="G7" s="311">
        <f t="shared" si="4"/>
        <v>0</v>
      </c>
      <c r="H7" s="311">
        <f t="shared" si="4"/>
        <v>0</v>
      </c>
      <c r="I7" s="311">
        <f t="shared" si="4"/>
        <v>0</v>
      </c>
      <c r="J7" s="311">
        <f t="shared" si="4"/>
        <v>0</v>
      </c>
      <c r="K7" s="311">
        <f t="shared" si="4"/>
        <v>0</v>
      </c>
      <c r="L7" s="311">
        <f t="shared" si="4"/>
        <v>0</v>
      </c>
      <c r="M7" s="311">
        <f t="shared" si="4"/>
        <v>0</v>
      </c>
      <c r="N7" s="311">
        <f t="shared" si="4"/>
        <v>0</v>
      </c>
      <c r="O7" s="311">
        <f t="shared" si="4"/>
        <v>0</v>
      </c>
      <c r="P7" s="311">
        <f t="shared" si="4"/>
        <v>0</v>
      </c>
      <c r="Q7" s="311">
        <f t="shared" si="4"/>
        <v>0</v>
      </c>
      <c r="R7" s="311">
        <f t="shared" si="4"/>
        <v>0</v>
      </c>
      <c r="S7" s="311">
        <f t="shared" si="4"/>
        <v>0</v>
      </c>
      <c r="T7" s="311">
        <f t="shared" si="4"/>
        <v>0</v>
      </c>
      <c r="U7" s="311">
        <f t="shared" si="4"/>
        <v>0</v>
      </c>
      <c r="V7" s="311">
        <f t="shared" si="4"/>
        <v>0</v>
      </c>
      <c r="W7" s="311">
        <f t="shared" si="4"/>
        <v>0</v>
      </c>
      <c r="X7" s="311">
        <f t="shared" si="4"/>
        <v>0</v>
      </c>
      <c r="Y7" s="311">
        <f t="shared" si="4"/>
        <v>0</v>
      </c>
      <c r="Z7" s="311">
        <f t="shared" si="4"/>
        <v>0</v>
      </c>
      <c r="AA7" s="311">
        <f t="shared" si="4"/>
        <v>0</v>
      </c>
      <c r="AB7" s="125">
        <f t="shared" si="4"/>
        <v>0</v>
      </c>
      <c r="AC7" s="125">
        <f t="shared" si="4"/>
        <v>0</v>
      </c>
      <c r="AD7" s="125">
        <f t="shared" si="4"/>
        <v>0</v>
      </c>
      <c r="AE7" s="125">
        <f t="shared" si="2"/>
        <v>0</v>
      </c>
    </row>
    <row r="8" spans="2:31" ht="38.25" customHeight="1">
      <c r="B8" s="328"/>
      <c r="C8" s="324" t="s">
        <v>73</v>
      </c>
      <c r="D8" s="324"/>
      <c r="E8" s="307"/>
      <c r="F8" s="311">
        <f t="shared" ref="F8:AD8" si="5">F37</f>
        <v>0</v>
      </c>
      <c r="G8" s="311">
        <f t="shared" si="5"/>
        <v>0</v>
      </c>
      <c r="H8" s="311">
        <f t="shared" si="5"/>
        <v>0</v>
      </c>
      <c r="I8" s="311">
        <f t="shared" si="5"/>
        <v>0</v>
      </c>
      <c r="J8" s="311">
        <f t="shared" si="5"/>
        <v>0</v>
      </c>
      <c r="K8" s="311">
        <f t="shared" si="5"/>
        <v>0</v>
      </c>
      <c r="L8" s="311">
        <f t="shared" si="5"/>
        <v>0</v>
      </c>
      <c r="M8" s="311">
        <f t="shared" si="5"/>
        <v>0</v>
      </c>
      <c r="N8" s="311">
        <f t="shared" si="5"/>
        <v>0</v>
      </c>
      <c r="O8" s="311">
        <f t="shared" si="5"/>
        <v>0</v>
      </c>
      <c r="P8" s="311">
        <f t="shared" si="5"/>
        <v>0</v>
      </c>
      <c r="Q8" s="311">
        <f t="shared" si="5"/>
        <v>0</v>
      </c>
      <c r="R8" s="311">
        <f t="shared" si="5"/>
        <v>0</v>
      </c>
      <c r="S8" s="311">
        <f t="shared" si="5"/>
        <v>0</v>
      </c>
      <c r="T8" s="311">
        <f t="shared" si="5"/>
        <v>0</v>
      </c>
      <c r="U8" s="311">
        <f t="shared" si="5"/>
        <v>0</v>
      </c>
      <c r="V8" s="311">
        <f t="shared" si="5"/>
        <v>0</v>
      </c>
      <c r="W8" s="311">
        <f t="shared" si="5"/>
        <v>0</v>
      </c>
      <c r="X8" s="311">
        <f t="shared" si="5"/>
        <v>0</v>
      </c>
      <c r="Y8" s="311">
        <f t="shared" si="5"/>
        <v>0</v>
      </c>
      <c r="Z8" s="311">
        <f t="shared" si="5"/>
        <v>0</v>
      </c>
      <c r="AA8" s="311">
        <f t="shared" si="5"/>
        <v>0</v>
      </c>
      <c r="AB8" s="125">
        <f t="shared" si="5"/>
        <v>0</v>
      </c>
      <c r="AC8" s="125">
        <f t="shared" si="5"/>
        <v>0</v>
      </c>
      <c r="AD8" s="125">
        <f t="shared" si="5"/>
        <v>0</v>
      </c>
      <c r="AE8" s="125">
        <f t="shared" si="2"/>
        <v>0</v>
      </c>
    </row>
    <row r="9" spans="2:31" ht="38.25" customHeight="1">
      <c r="B9" s="721" t="s">
        <v>17</v>
      </c>
      <c r="C9" s="721"/>
      <c r="D9" s="329"/>
      <c r="E9" s="312"/>
      <c r="F9" s="313">
        <f t="shared" ref="F9:AD9" si="6">SUM(F10:F23)-F12</f>
        <v>33285934.420135319</v>
      </c>
      <c r="G9" s="313">
        <f t="shared" si="6"/>
        <v>31503457.829241157</v>
      </c>
      <c r="H9" s="313">
        <f t="shared" si="6"/>
        <v>30262204.803970933</v>
      </c>
      <c r="I9" s="313">
        <f t="shared" si="6"/>
        <v>29080979.39490959</v>
      </c>
      <c r="J9" s="313">
        <f t="shared" si="6"/>
        <v>27952158.094798505</v>
      </c>
      <c r="K9" s="313">
        <f t="shared" si="6"/>
        <v>26869085.581801087</v>
      </c>
      <c r="L9" s="313">
        <f t="shared" si="6"/>
        <v>25825951.759953827</v>
      </c>
      <c r="M9" s="313">
        <f t="shared" si="6"/>
        <v>24817684.415480733</v>
      </c>
      <c r="N9" s="313">
        <f t="shared" si="6"/>
        <v>24192128.044470847</v>
      </c>
      <c r="O9" s="313">
        <f t="shared" si="6"/>
        <v>24209466.518204972</v>
      </c>
      <c r="P9" s="313">
        <f t="shared" si="6"/>
        <v>23850003.005774885</v>
      </c>
      <c r="Q9" s="313">
        <f t="shared" si="6"/>
        <v>23710791.359423414</v>
      </c>
      <c r="R9" s="313">
        <f t="shared" si="6"/>
        <v>23589259.592158601</v>
      </c>
      <c r="S9" s="313">
        <f t="shared" si="6"/>
        <v>23483162.359336406</v>
      </c>
      <c r="T9" s="313">
        <f t="shared" si="6"/>
        <v>23390539.475082636</v>
      </c>
      <c r="U9" s="313">
        <f t="shared" si="6"/>
        <v>23309679.697129104</v>
      </c>
      <c r="V9" s="313">
        <f t="shared" si="6"/>
        <v>23239089.11097566</v>
      </c>
      <c r="W9" s="313">
        <f t="shared" si="6"/>
        <v>5817563.6939695198</v>
      </c>
      <c r="X9" s="313">
        <f t="shared" si="6"/>
        <v>5763764.5611350499</v>
      </c>
      <c r="Y9" s="313">
        <f t="shared" si="6"/>
        <v>6267231.914612961</v>
      </c>
      <c r="Z9" s="313">
        <f t="shared" si="6"/>
        <v>3711912.2388624451</v>
      </c>
      <c r="AA9" s="313">
        <f t="shared" si="6"/>
        <v>3676117.5982265142</v>
      </c>
      <c r="AB9" s="126">
        <f t="shared" si="6"/>
        <v>3657796.4162399997</v>
      </c>
      <c r="AC9" s="126">
        <f t="shared" si="6"/>
        <v>3657796.4162399997</v>
      </c>
      <c r="AD9" s="126">
        <f t="shared" si="6"/>
        <v>3657796.4162399997</v>
      </c>
      <c r="AE9" s="126">
        <f t="shared" si="2"/>
        <v>478781554.71837419</v>
      </c>
    </row>
    <row r="10" spans="2:31" ht="38.25" customHeight="1">
      <c r="B10" s="330"/>
      <c r="C10" s="331" t="s">
        <v>87</v>
      </c>
      <c r="D10" s="331"/>
      <c r="E10" s="307"/>
      <c r="F10" s="311">
        <f>初期条件!F64*初期条件!D84</f>
        <v>0</v>
      </c>
      <c r="G10" s="311"/>
      <c r="H10" s="311"/>
      <c r="I10" s="311"/>
      <c r="J10" s="311"/>
      <c r="K10" s="311"/>
      <c r="L10" s="311"/>
      <c r="M10" s="311"/>
      <c r="N10" s="311"/>
      <c r="O10" s="311"/>
      <c r="P10" s="311"/>
      <c r="Q10" s="311"/>
      <c r="R10" s="311"/>
      <c r="S10" s="311"/>
      <c r="T10" s="311"/>
      <c r="U10" s="311"/>
      <c r="V10" s="311"/>
      <c r="W10" s="311"/>
      <c r="X10" s="311"/>
      <c r="Y10" s="311"/>
      <c r="Z10" s="311"/>
      <c r="AA10" s="311"/>
      <c r="AB10" s="125"/>
      <c r="AC10" s="125"/>
      <c r="AD10" s="125"/>
      <c r="AE10" s="125">
        <f>SUM(F10:AD10)</f>
        <v>0</v>
      </c>
    </row>
    <row r="11" spans="2:31" ht="38.25" customHeight="1">
      <c r="B11" s="330"/>
      <c r="C11" s="331" t="s">
        <v>88</v>
      </c>
      <c r="D11" s="331"/>
      <c r="E11" s="307"/>
      <c r="F11" s="311">
        <f>IF(初期条件!$D$84=100%,0,(初期条件!$F$36+初期条件!$F$44-$F$10)/初期条件!$D$85)</f>
        <v>17359899.835294116</v>
      </c>
      <c r="G11" s="311">
        <f>IF(初期条件!$D$84=100%,0,(初期条件!$F$36+初期条件!$F$44-$F$10)/初期条件!$D$85)</f>
        <v>17359899.835294116</v>
      </c>
      <c r="H11" s="311">
        <f>IF(初期条件!$D$84=100%,0,(初期条件!$F$36+初期条件!$F$44-$F$10)/初期条件!$D$85)</f>
        <v>17359899.835294116</v>
      </c>
      <c r="I11" s="311">
        <f>IF(初期条件!$D$84=100%,0,(初期条件!$F$36+初期条件!$F$44-$F$10)/初期条件!$D$85)</f>
        <v>17359899.835294116</v>
      </c>
      <c r="J11" s="311">
        <f>IF(初期条件!$D$84=100%,0,(初期条件!$F$36+初期条件!$F$44-$F$10)/初期条件!$D$85)</f>
        <v>17359899.835294116</v>
      </c>
      <c r="K11" s="311">
        <f>IF(初期条件!$D$84=100%,0,(初期条件!$F$36+初期条件!$F$44-$F$10)/初期条件!$D$85)</f>
        <v>17359899.835294116</v>
      </c>
      <c r="L11" s="311">
        <f>IF(初期条件!$D$84=100%,0,(初期条件!$F$36+初期条件!$F$44-$F$10)/初期条件!$D$85)</f>
        <v>17359899.835294116</v>
      </c>
      <c r="M11" s="311">
        <f>IF(初期条件!$D$84=100%,0,(初期条件!$F$36+初期条件!$F$44-$F$10)/初期条件!$D$85)</f>
        <v>17359899.835294116</v>
      </c>
      <c r="N11" s="311">
        <f>IF(初期条件!$D$84=100%,0,(初期条件!$F$36+初期条件!$F$44-$F$10)/初期条件!$D$85)</f>
        <v>17359899.835294116</v>
      </c>
      <c r="O11" s="311">
        <f>IF(初期条件!$D$84=100%,0,(初期条件!$F$36+初期条件!$F$44-$F$10)/初期条件!$D$85)</f>
        <v>17359899.835294116</v>
      </c>
      <c r="P11" s="311">
        <f>IF(初期条件!$D$84=100%,0,(初期条件!$F$36+初期条件!$F$44-$F$10)/初期条件!$D$85)</f>
        <v>17359899.835294116</v>
      </c>
      <c r="Q11" s="311">
        <f>IF(初期条件!$D$84=100%,0,(初期条件!$F$36+初期条件!$F$44-$F$10)/初期条件!$D$85)</f>
        <v>17359899.835294116</v>
      </c>
      <c r="R11" s="311">
        <f>IF(初期条件!$D$84=100%,0,(初期条件!$F$36+初期条件!$F$44-$F$10)/初期条件!$D$85)</f>
        <v>17359899.835294116</v>
      </c>
      <c r="S11" s="311">
        <f>IF(初期条件!$D$84=100%,0,(初期条件!$F$36+初期条件!$F$44-$F$10)/初期条件!$D$85)</f>
        <v>17359899.835294116</v>
      </c>
      <c r="T11" s="311">
        <f>IF(初期条件!$D$84=100%,0,(初期条件!$F$36+初期条件!$F$44-$F$10)/初期条件!$D$85)</f>
        <v>17359899.835294116</v>
      </c>
      <c r="U11" s="311">
        <f>IF(初期条件!$D$84=100%,0,(初期条件!$F$36+初期条件!$F$44-$F$10)/初期条件!$D$85)</f>
        <v>17359899.835294116</v>
      </c>
      <c r="V11" s="311">
        <f>IF(初期条件!$D$84=100%,0,(初期条件!$F$36+初期条件!$F$44-$F$10)/初期条件!$D$85)</f>
        <v>17359899.835294116</v>
      </c>
      <c r="W11" s="311">
        <f>IF(初期条件!$D$84=100%,0,IF(V12&lt;=(初期条件!$F$64-$F$10)/初期条件!$D$85,V12,(初期条件!$F$64-$F$10)/初期条件!$D$85))</f>
        <v>-6.7055225372314453E-8</v>
      </c>
      <c r="X11" s="311">
        <f>IF(初期条件!$D$84=100%,0,IF(W12&lt;=(初期条件!$F$64-$F$10)/初期条件!$D$85,W12,(初期条件!$F$64-$F$10)/初期条件!$D$85))</f>
        <v>0</v>
      </c>
      <c r="Y11" s="311">
        <f>IF(初期条件!$D$84=100%,0,IF(X12&lt;=(初期条件!$F$64-$F$10)/初期条件!$D$85,X12,(初期条件!$F$64-$F$10)/初期条件!$D$85))</f>
        <v>0</v>
      </c>
      <c r="Z11" s="311">
        <f>IF(初期条件!$D$84=100%,0,IF(Y12&lt;=(初期条件!$F$64-$F$10)/初期条件!$D$85,Y12,(初期条件!$F$64-$F$10)/初期条件!$D$85))</f>
        <v>0</v>
      </c>
      <c r="AA11" s="311">
        <f>IF(初期条件!$D$84=100%,0,IF(Z12&lt;=(初期条件!$F$64-$F$10)/初期条件!$D$85,Z12,(初期条件!$F$64-$F$10)/初期条件!$D$85))</f>
        <v>0</v>
      </c>
      <c r="AB11" s="311">
        <f>IF(初期条件!$D$84=100%,0,IF(AA12&lt;=(初期条件!$F$64-$F$10)/初期条件!$D$85,AA12,(初期条件!$F$64-$F$10)/初期条件!$D$85))</f>
        <v>0</v>
      </c>
      <c r="AC11" s="311">
        <f>IF(初期条件!$D$84=100%,0,IF(AB12&lt;=(初期条件!$F$64-$F$10)/初期条件!$D$85,AB12,(初期条件!$F$64-$F$10)/初期条件!$D$85))</f>
        <v>0</v>
      </c>
      <c r="AD11" s="311">
        <f>IF(初期条件!$D$84=100%,0,IF(AC12&lt;=(初期条件!$F$64-$F$10)/初期条件!$D$85,AC12,(初期条件!$F$64-$F$10)/初期条件!$D$85))</f>
        <v>0</v>
      </c>
      <c r="AE11" s="125">
        <f>SUM(F11:AD11)</f>
        <v>295118297.19999999</v>
      </c>
    </row>
    <row r="12" spans="2:31" ht="38.25" customHeight="1">
      <c r="B12" s="330"/>
      <c r="C12" s="331" t="s">
        <v>193</v>
      </c>
      <c r="D12" s="331"/>
      <c r="E12" s="307"/>
      <c r="F12" s="422">
        <f>(初期条件!F36+初期条件!F44)-(F10+F11)</f>
        <v>277758397.36470586</v>
      </c>
      <c r="G12" s="311">
        <f>IF(G2&gt;初期条件!$D$85,0,F12-G11)</f>
        <v>260398497.52941173</v>
      </c>
      <c r="H12" s="311">
        <f>IF(H2&gt;初期条件!$D$85,0,G12-H11)</f>
        <v>243038597.69411761</v>
      </c>
      <c r="I12" s="311">
        <f>IF(I2&gt;初期条件!$D$85,0,H12-I11)</f>
        <v>225678697.85882348</v>
      </c>
      <c r="J12" s="311">
        <f>IF(J2&gt;初期条件!$D$85,0,I12-J11)</f>
        <v>208318798.02352935</v>
      </c>
      <c r="K12" s="311">
        <f>IF(K2&gt;初期条件!$D$85,0,J12-K11)</f>
        <v>190958898.18823522</v>
      </c>
      <c r="L12" s="311">
        <f>IF(L2&gt;初期条件!$D$85,0,K12-L11)</f>
        <v>173598998.3529411</v>
      </c>
      <c r="M12" s="311">
        <f>IF(M2&gt;初期条件!$D$85,0,L12-M11)</f>
        <v>156239098.51764697</v>
      </c>
      <c r="N12" s="311">
        <f>IF(N2&gt;初期条件!$D$85,0,M12-N11)</f>
        <v>138879198.68235284</v>
      </c>
      <c r="O12" s="311">
        <f>IF(O2&gt;初期条件!$D$85,0,N12-O11)</f>
        <v>121519298.84705873</v>
      </c>
      <c r="P12" s="311">
        <f>IF(P2&gt;初期条件!$D$85,0,O12-P11)</f>
        <v>104159399.01176462</v>
      </c>
      <c r="Q12" s="311">
        <f>IF(Q2&gt;初期条件!$D$85,0,P12-Q11)</f>
        <v>86799499.176470503</v>
      </c>
      <c r="R12" s="311">
        <f>IF(R2&gt;初期条件!$D$85,0,Q12-R11)</f>
        <v>69439599.341176391</v>
      </c>
      <c r="S12" s="311">
        <f>IF(S2&gt;初期条件!$D$85,0,R12-S11)</f>
        <v>52079699.505882278</v>
      </c>
      <c r="T12" s="311">
        <f>IF(T2&gt;初期条件!$D$85,0,S12-T11)</f>
        <v>34719799.670588166</v>
      </c>
      <c r="U12" s="311">
        <f>IF(U2&gt;初期条件!$D$85,0,T12-U11)</f>
        <v>17359899.835294049</v>
      </c>
      <c r="V12" s="311">
        <f>IF(V2&gt;初期条件!$D$85,0,U12-V11)</f>
        <v>-6.7055225372314453E-8</v>
      </c>
      <c r="W12" s="311">
        <f>IF(W2&gt;初期条件!$D$85,0,V12-W11)</f>
        <v>0</v>
      </c>
      <c r="X12" s="311">
        <f>IF(X2&gt;初期条件!$D$85,0,W12-X11)</f>
        <v>0</v>
      </c>
      <c r="Y12" s="311">
        <f>IF(Y2&gt;初期条件!$D$85,0,X12-Y11)</f>
        <v>0</v>
      </c>
      <c r="Z12" s="311">
        <f>IF(Z2&gt;初期条件!$D$85,0,Y12-Z11)</f>
        <v>0</v>
      </c>
      <c r="AA12" s="311">
        <f>IF(AA2&gt;初期条件!$D$85,0,Z12-AA11)</f>
        <v>0</v>
      </c>
      <c r="AB12" s="125">
        <f>IF(AB2&gt;初期条件!$D$85,0,AA12-AB11)</f>
        <v>0</v>
      </c>
      <c r="AC12" s="125">
        <f>IF(AC2&gt;初期条件!$D$85,0,AB12-AC11)</f>
        <v>0</v>
      </c>
      <c r="AD12" s="125">
        <f>IF(AD2&gt;初期条件!$D$85,0,AC12-AD11)</f>
        <v>0</v>
      </c>
      <c r="AE12" s="125">
        <f>SUM(F12:AD12)</f>
        <v>2360946377.599999</v>
      </c>
    </row>
    <row r="13" spans="2:31" ht="38.25" customHeight="1">
      <c r="B13" s="330"/>
      <c r="C13" s="331" t="s">
        <v>78</v>
      </c>
      <c r="D13" s="331"/>
      <c r="E13" s="307"/>
      <c r="F13" s="311">
        <f>F39</f>
        <v>174000</v>
      </c>
      <c r="G13" s="311">
        <f t="shared" ref="G13:AD13" si="7">G39</f>
        <v>174000</v>
      </c>
      <c r="H13" s="311">
        <f t="shared" si="7"/>
        <v>174000</v>
      </c>
      <c r="I13" s="311">
        <f t="shared" si="7"/>
        <v>174000</v>
      </c>
      <c r="J13" s="311">
        <f t="shared" si="7"/>
        <v>174000</v>
      </c>
      <c r="K13" s="311">
        <f t="shared" si="7"/>
        <v>174000</v>
      </c>
      <c r="L13" s="311">
        <f t="shared" si="7"/>
        <v>174000</v>
      </c>
      <c r="M13" s="311">
        <f t="shared" si="7"/>
        <v>174000</v>
      </c>
      <c r="N13" s="311">
        <f t="shared" si="7"/>
        <v>174000</v>
      </c>
      <c r="O13" s="311">
        <f t="shared" si="7"/>
        <v>174000</v>
      </c>
      <c r="P13" s="311">
        <f t="shared" si="7"/>
        <v>174000</v>
      </c>
      <c r="Q13" s="311">
        <f t="shared" si="7"/>
        <v>174000</v>
      </c>
      <c r="R13" s="311">
        <f t="shared" si="7"/>
        <v>174000</v>
      </c>
      <c r="S13" s="311">
        <f t="shared" si="7"/>
        <v>174000</v>
      </c>
      <c r="T13" s="311">
        <f t="shared" si="7"/>
        <v>174000</v>
      </c>
      <c r="U13" s="311">
        <f t="shared" si="7"/>
        <v>174000</v>
      </c>
      <c r="V13" s="311">
        <f t="shared" si="7"/>
        <v>174000</v>
      </c>
      <c r="W13" s="311">
        <f t="shared" si="7"/>
        <v>174000</v>
      </c>
      <c r="X13" s="311">
        <f t="shared" si="7"/>
        <v>174000</v>
      </c>
      <c r="Y13" s="311">
        <f t="shared" si="7"/>
        <v>174000</v>
      </c>
      <c r="Z13" s="311">
        <f t="shared" si="7"/>
        <v>174000</v>
      </c>
      <c r="AA13" s="311">
        <f t="shared" si="7"/>
        <v>174000</v>
      </c>
      <c r="AB13" s="125">
        <f t="shared" si="7"/>
        <v>174000</v>
      </c>
      <c r="AC13" s="125">
        <f t="shared" si="7"/>
        <v>174000</v>
      </c>
      <c r="AD13" s="125">
        <f t="shared" si="7"/>
        <v>174000</v>
      </c>
      <c r="AE13" s="125">
        <f t="shared" si="2"/>
        <v>4350000</v>
      </c>
    </row>
    <row r="14" spans="2:31" ht="38.25" customHeight="1">
      <c r="B14" s="330"/>
      <c r="C14" s="331" t="s">
        <v>80</v>
      </c>
      <c r="D14" s="331"/>
      <c r="E14" s="307"/>
      <c r="F14" s="311">
        <f t="shared" ref="F14:AD14" si="8">F41</f>
        <v>5796484.500684374</v>
      </c>
      <c r="G14" s="311">
        <f t="shared" si="8"/>
        <v>5027889.8707593707</v>
      </c>
      <c r="H14" s="311">
        <f t="shared" si="8"/>
        <v>4259295.2408343684</v>
      </c>
      <c r="I14" s="311">
        <f t="shared" si="8"/>
        <v>3490700.6109093665</v>
      </c>
      <c r="J14" s="311">
        <f t="shared" si="8"/>
        <v>2722105.9809843693</v>
      </c>
      <c r="K14" s="311">
        <f t="shared" si="8"/>
        <v>1953511.3510593711</v>
      </c>
      <c r="L14" s="311">
        <f t="shared" si="8"/>
        <v>1184916.7211343714</v>
      </c>
      <c r="M14" s="311">
        <f t="shared" si="8"/>
        <v>416322.09120937128</v>
      </c>
      <c r="N14" s="311">
        <f t="shared" si="8"/>
        <v>-3.7970021367073059E-9</v>
      </c>
      <c r="O14" s="311">
        <f t="shared" si="8"/>
        <v>-3.7970021367073059E-9</v>
      </c>
      <c r="P14" s="311">
        <f t="shared" si="8"/>
        <v>-3.7970021367073059E-9</v>
      </c>
      <c r="Q14" s="311">
        <f t="shared" si="8"/>
        <v>-3.7970021367073059E-9</v>
      </c>
      <c r="R14" s="311">
        <f t="shared" si="8"/>
        <v>-3.7970021367073059E-9</v>
      </c>
      <c r="S14" s="311">
        <f t="shared" si="8"/>
        <v>-3.7970021367073059E-9</v>
      </c>
      <c r="T14" s="311">
        <f t="shared" si="8"/>
        <v>-3.7970021367073059E-9</v>
      </c>
      <c r="U14" s="311">
        <f t="shared" si="8"/>
        <v>0</v>
      </c>
      <c r="V14" s="311">
        <f t="shared" si="8"/>
        <v>0</v>
      </c>
      <c r="W14" s="311">
        <f t="shared" si="8"/>
        <v>0</v>
      </c>
      <c r="X14" s="311">
        <f t="shared" si="8"/>
        <v>0</v>
      </c>
      <c r="Y14" s="311">
        <f t="shared" si="8"/>
        <v>0</v>
      </c>
      <c r="Z14" s="311">
        <f t="shared" si="8"/>
        <v>0</v>
      </c>
      <c r="AA14" s="311">
        <f t="shared" si="8"/>
        <v>0</v>
      </c>
      <c r="AB14" s="125">
        <f t="shared" si="8"/>
        <v>0</v>
      </c>
      <c r="AC14" s="125">
        <f t="shared" si="8"/>
        <v>0</v>
      </c>
      <c r="AD14" s="125">
        <f t="shared" si="8"/>
        <v>0</v>
      </c>
      <c r="AE14" s="125">
        <f t="shared" si="2"/>
        <v>24851226.367574938</v>
      </c>
    </row>
    <row r="15" spans="2:31" ht="38.25" customHeight="1">
      <c r="B15" s="330"/>
      <c r="C15" s="331" t="s">
        <v>81</v>
      </c>
      <c r="D15" s="331"/>
      <c r="E15" s="307"/>
      <c r="F15" s="311">
        <f t="shared" ref="F15:AD15" si="9">F42</f>
        <v>1483883.8</v>
      </c>
      <c r="G15" s="311">
        <f t="shared" si="9"/>
        <v>1483883.8</v>
      </c>
      <c r="H15" s="311">
        <f t="shared" si="9"/>
        <v>1483883.8</v>
      </c>
      <c r="I15" s="311">
        <f t="shared" si="9"/>
        <v>1483883.8</v>
      </c>
      <c r="J15" s="311">
        <f t="shared" si="9"/>
        <v>1483883.8</v>
      </c>
      <c r="K15" s="311">
        <f t="shared" si="9"/>
        <v>1483883.8</v>
      </c>
      <c r="L15" s="311">
        <f t="shared" si="9"/>
        <v>1483883.8</v>
      </c>
      <c r="M15" s="311">
        <f t="shared" si="9"/>
        <v>1483883.8</v>
      </c>
      <c r="N15" s="311">
        <f t="shared" si="9"/>
        <v>1483883.8</v>
      </c>
      <c r="O15" s="311">
        <f t="shared" si="9"/>
        <v>1483883.8</v>
      </c>
      <c r="P15" s="311">
        <f t="shared" si="9"/>
        <v>1483883.8</v>
      </c>
      <c r="Q15" s="311">
        <f t="shared" si="9"/>
        <v>1483883.8</v>
      </c>
      <c r="R15" s="311">
        <f t="shared" si="9"/>
        <v>1483883.8</v>
      </c>
      <c r="S15" s="311">
        <f t="shared" si="9"/>
        <v>1483883.8</v>
      </c>
      <c r="T15" s="311">
        <f t="shared" si="9"/>
        <v>1483883.8</v>
      </c>
      <c r="U15" s="311">
        <f t="shared" si="9"/>
        <v>1483883.8</v>
      </c>
      <c r="V15" s="311">
        <f t="shared" si="9"/>
        <v>1483883.8</v>
      </c>
      <c r="W15" s="311">
        <f t="shared" si="9"/>
        <v>1483883.8</v>
      </c>
      <c r="X15" s="311">
        <f t="shared" si="9"/>
        <v>1483883.8</v>
      </c>
      <c r="Y15" s="311">
        <f t="shared" si="9"/>
        <v>0</v>
      </c>
      <c r="Z15" s="311">
        <f t="shared" si="9"/>
        <v>0</v>
      </c>
      <c r="AA15" s="311">
        <f t="shared" si="9"/>
        <v>0</v>
      </c>
      <c r="AB15" s="125">
        <f t="shared" si="9"/>
        <v>0</v>
      </c>
      <c r="AC15" s="125">
        <f t="shared" si="9"/>
        <v>0</v>
      </c>
      <c r="AD15" s="125">
        <f t="shared" si="9"/>
        <v>0</v>
      </c>
      <c r="AE15" s="125">
        <f t="shared" si="2"/>
        <v>28193792.20000001</v>
      </c>
    </row>
    <row r="16" spans="2:31" ht="38.25" customHeight="1">
      <c r="B16" s="330"/>
      <c r="C16" s="331" t="str">
        <f>C44</f>
        <v>機械設備償却資産税</v>
      </c>
      <c r="D16" s="331"/>
      <c r="E16" s="307"/>
      <c r="F16" s="311">
        <f t="shared" ref="F16:AD17" si="10">F44</f>
        <v>4263138.1997568002</v>
      </c>
      <c r="G16" s="311">
        <f t="shared" si="10"/>
        <v>3721719.6483876863</v>
      </c>
      <c r="H16" s="311">
        <f t="shared" si="10"/>
        <v>3249061.2530424502</v>
      </c>
      <c r="I16" s="311">
        <f t="shared" si="10"/>
        <v>2836430.4739060593</v>
      </c>
      <c r="J16" s="311">
        <f t="shared" si="10"/>
        <v>2476203.8037199895</v>
      </c>
      <c r="K16" s="311">
        <f t="shared" si="10"/>
        <v>2161725.9206475508</v>
      </c>
      <c r="L16" s="311">
        <f t="shared" si="10"/>
        <v>1887186.728725312</v>
      </c>
      <c r="M16" s="311">
        <f t="shared" si="10"/>
        <v>1647514.0141771976</v>
      </c>
      <c r="N16" s="311">
        <f t="shared" si="10"/>
        <v>1438279.7343766934</v>
      </c>
      <c r="O16" s="311">
        <f t="shared" si="10"/>
        <v>1255618.2081108533</v>
      </c>
      <c r="P16" s="311">
        <f t="shared" si="10"/>
        <v>1096154.695680775</v>
      </c>
      <c r="Q16" s="311">
        <f t="shared" si="10"/>
        <v>956943.04932931648</v>
      </c>
      <c r="R16" s="311">
        <f t="shared" si="10"/>
        <v>835411.28206449328</v>
      </c>
      <c r="S16" s="311">
        <f t="shared" si="10"/>
        <v>729314.04924230266</v>
      </c>
      <c r="T16" s="311">
        <f t="shared" si="10"/>
        <v>636691.16498853022</v>
      </c>
      <c r="U16" s="311">
        <f t="shared" si="10"/>
        <v>555831.38703498687</v>
      </c>
      <c r="V16" s="311">
        <f t="shared" si="10"/>
        <v>485240.80088154355</v>
      </c>
      <c r="W16" s="311">
        <f t="shared" si="10"/>
        <v>423615.21916958754</v>
      </c>
      <c r="X16" s="311">
        <f t="shared" si="10"/>
        <v>369816.08633504988</v>
      </c>
      <c r="Y16" s="311">
        <f t="shared" si="10"/>
        <v>322849.44337049854</v>
      </c>
      <c r="Z16" s="311">
        <f t="shared" si="10"/>
        <v>281847.56406244525</v>
      </c>
      <c r="AA16" s="311">
        <f t="shared" si="10"/>
        <v>246052.92342651467</v>
      </c>
      <c r="AB16" s="125">
        <f t="shared" si="10"/>
        <v>227731.74144000001</v>
      </c>
      <c r="AC16" s="125">
        <f t="shared" si="10"/>
        <v>227731.74144000001</v>
      </c>
      <c r="AD16" s="125">
        <f t="shared" si="10"/>
        <v>227731.74144000001</v>
      </c>
      <c r="AE16" s="125">
        <f t="shared" si="2"/>
        <v>32559840.874756634</v>
      </c>
    </row>
    <row r="17" spans="2:31" ht="38.25" customHeight="1">
      <c r="B17" s="330"/>
      <c r="C17" s="371" t="str">
        <f>C45</f>
        <v>土地の固定資産税</v>
      </c>
      <c r="D17" s="371"/>
      <c r="E17" s="423"/>
      <c r="F17" s="311">
        <f t="shared" si="10"/>
        <v>472463.40960000001</v>
      </c>
      <c r="G17" s="424"/>
      <c r="H17" s="424"/>
      <c r="I17" s="424"/>
      <c r="J17" s="424"/>
      <c r="K17" s="424"/>
      <c r="L17" s="424"/>
      <c r="M17" s="424"/>
      <c r="N17" s="424"/>
      <c r="O17" s="424"/>
      <c r="P17" s="424"/>
      <c r="Q17" s="424"/>
      <c r="R17" s="424"/>
      <c r="S17" s="424"/>
      <c r="T17" s="424"/>
      <c r="U17" s="424"/>
      <c r="V17" s="424"/>
      <c r="W17" s="424"/>
      <c r="X17" s="424"/>
      <c r="Y17" s="424"/>
      <c r="Z17" s="424"/>
      <c r="AA17" s="424"/>
      <c r="AB17" s="374"/>
      <c r="AC17" s="374"/>
      <c r="AD17" s="374"/>
      <c r="AE17" s="374"/>
    </row>
    <row r="18" spans="2:31" ht="38.25" customHeight="1">
      <c r="B18" s="330"/>
      <c r="C18" s="331" t="s">
        <v>82</v>
      </c>
      <c r="D18" s="331"/>
      <c r="E18" s="307"/>
      <c r="F18" s="311">
        <f t="shared" ref="F18:AD18" si="11">F46</f>
        <v>2656064.6747999997</v>
      </c>
      <c r="G18" s="311">
        <f t="shared" si="11"/>
        <v>2656064.6747999997</v>
      </c>
      <c r="H18" s="311">
        <f t="shared" si="11"/>
        <v>2656064.6747999997</v>
      </c>
      <c r="I18" s="311">
        <f t="shared" si="11"/>
        <v>2656064.6747999997</v>
      </c>
      <c r="J18" s="311">
        <f t="shared" si="11"/>
        <v>2656064.6747999997</v>
      </c>
      <c r="K18" s="311">
        <f t="shared" si="11"/>
        <v>2656064.6747999997</v>
      </c>
      <c r="L18" s="311">
        <f t="shared" si="11"/>
        <v>2656064.6747999997</v>
      </c>
      <c r="M18" s="311">
        <f t="shared" si="11"/>
        <v>2656064.6747999997</v>
      </c>
      <c r="N18" s="311">
        <f t="shared" si="11"/>
        <v>2656064.6747999997</v>
      </c>
      <c r="O18" s="311">
        <f t="shared" si="11"/>
        <v>2656064.6747999997</v>
      </c>
      <c r="P18" s="311">
        <f t="shared" si="11"/>
        <v>2656064.6747999997</v>
      </c>
      <c r="Q18" s="311">
        <f t="shared" si="11"/>
        <v>2656064.6747999997</v>
      </c>
      <c r="R18" s="311">
        <f t="shared" si="11"/>
        <v>2656064.6747999997</v>
      </c>
      <c r="S18" s="311">
        <f t="shared" si="11"/>
        <v>2656064.6747999997</v>
      </c>
      <c r="T18" s="311">
        <f t="shared" si="11"/>
        <v>2656064.6747999997</v>
      </c>
      <c r="U18" s="311">
        <f t="shared" si="11"/>
        <v>2656064.6747999997</v>
      </c>
      <c r="V18" s="311">
        <f t="shared" si="11"/>
        <v>2656064.6747999997</v>
      </c>
      <c r="W18" s="311">
        <f t="shared" si="11"/>
        <v>2656064.6747999997</v>
      </c>
      <c r="X18" s="311">
        <f t="shared" si="11"/>
        <v>2656064.6747999997</v>
      </c>
      <c r="Y18" s="311">
        <f t="shared" si="11"/>
        <v>2656064.6747999997</v>
      </c>
      <c r="Z18" s="311">
        <f t="shared" si="11"/>
        <v>2656064.6747999997</v>
      </c>
      <c r="AA18" s="311">
        <f t="shared" si="11"/>
        <v>2656064.6747999997</v>
      </c>
      <c r="AB18" s="125">
        <f t="shared" si="11"/>
        <v>2656064.6747999997</v>
      </c>
      <c r="AC18" s="125">
        <f t="shared" si="11"/>
        <v>2656064.6747999997</v>
      </c>
      <c r="AD18" s="125">
        <f t="shared" si="11"/>
        <v>2656064.6747999997</v>
      </c>
      <c r="AE18" s="125">
        <f t="shared" si="2"/>
        <v>66401616.870000012</v>
      </c>
    </row>
    <row r="19" spans="2:31" ht="38.25" customHeight="1">
      <c r="B19" s="330"/>
      <c r="C19" s="331" t="str">
        <f>C47</f>
        <v>電気主任技術者点検費用</v>
      </c>
      <c r="D19" s="331"/>
      <c r="E19" s="307"/>
      <c r="F19" s="311">
        <f t="shared" ref="F19:AD19" si="12">F47</f>
        <v>600000</v>
      </c>
      <c r="G19" s="311">
        <f t="shared" si="12"/>
        <v>600000</v>
      </c>
      <c r="H19" s="311">
        <f t="shared" si="12"/>
        <v>600000</v>
      </c>
      <c r="I19" s="311">
        <f t="shared" si="12"/>
        <v>600000</v>
      </c>
      <c r="J19" s="311">
        <f t="shared" si="12"/>
        <v>600000</v>
      </c>
      <c r="K19" s="311">
        <f t="shared" si="12"/>
        <v>600000</v>
      </c>
      <c r="L19" s="311">
        <f t="shared" si="12"/>
        <v>600000</v>
      </c>
      <c r="M19" s="311">
        <f t="shared" si="12"/>
        <v>600000</v>
      </c>
      <c r="N19" s="311">
        <f t="shared" si="12"/>
        <v>600000</v>
      </c>
      <c r="O19" s="311">
        <f t="shared" si="12"/>
        <v>600000</v>
      </c>
      <c r="P19" s="311">
        <f t="shared" si="12"/>
        <v>600000</v>
      </c>
      <c r="Q19" s="311">
        <f t="shared" si="12"/>
        <v>600000</v>
      </c>
      <c r="R19" s="311">
        <f t="shared" si="12"/>
        <v>600000</v>
      </c>
      <c r="S19" s="311">
        <f t="shared" si="12"/>
        <v>600000</v>
      </c>
      <c r="T19" s="311">
        <f t="shared" si="12"/>
        <v>600000</v>
      </c>
      <c r="U19" s="311">
        <f t="shared" si="12"/>
        <v>600000</v>
      </c>
      <c r="V19" s="311">
        <f t="shared" si="12"/>
        <v>600000</v>
      </c>
      <c r="W19" s="311">
        <f t="shared" si="12"/>
        <v>600000</v>
      </c>
      <c r="X19" s="311">
        <f t="shared" si="12"/>
        <v>600000</v>
      </c>
      <c r="Y19" s="311">
        <f t="shared" si="12"/>
        <v>600000</v>
      </c>
      <c r="Z19" s="311">
        <f t="shared" si="12"/>
        <v>600000</v>
      </c>
      <c r="AA19" s="311">
        <f t="shared" si="12"/>
        <v>600000</v>
      </c>
      <c r="AB19" s="125">
        <f t="shared" si="12"/>
        <v>600000</v>
      </c>
      <c r="AC19" s="125">
        <f t="shared" si="12"/>
        <v>600000</v>
      </c>
      <c r="AD19" s="125">
        <f t="shared" si="12"/>
        <v>600000</v>
      </c>
      <c r="AE19" s="125">
        <f t="shared" si="2"/>
        <v>15000000</v>
      </c>
    </row>
    <row r="20" spans="2:31" ht="38.25" customHeight="1">
      <c r="B20" s="330"/>
      <c r="C20" s="331" t="s">
        <v>29</v>
      </c>
      <c r="D20" s="331" t="s">
        <v>121</v>
      </c>
      <c r="E20" s="307"/>
      <c r="F20" s="311">
        <f t="shared" ref="F20:AD20" si="13">F48</f>
        <v>480000</v>
      </c>
      <c r="G20" s="311">
        <f t="shared" si="13"/>
        <v>480000</v>
      </c>
      <c r="H20" s="311">
        <f t="shared" si="13"/>
        <v>480000</v>
      </c>
      <c r="I20" s="311">
        <f t="shared" si="13"/>
        <v>480000</v>
      </c>
      <c r="J20" s="311">
        <f t="shared" si="13"/>
        <v>480000</v>
      </c>
      <c r="K20" s="311">
        <f t="shared" si="13"/>
        <v>480000</v>
      </c>
      <c r="L20" s="311">
        <f t="shared" si="13"/>
        <v>480000</v>
      </c>
      <c r="M20" s="311">
        <f t="shared" si="13"/>
        <v>480000</v>
      </c>
      <c r="N20" s="311">
        <f t="shared" si="13"/>
        <v>480000</v>
      </c>
      <c r="O20" s="311">
        <f t="shared" si="13"/>
        <v>480000</v>
      </c>
      <c r="P20" s="311">
        <f t="shared" si="13"/>
        <v>480000</v>
      </c>
      <c r="Q20" s="311">
        <f t="shared" si="13"/>
        <v>480000</v>
      </c>
      <c r="R20" s="311">
        <f t="shared" si="13"/>
        <v>480000</v>
      </c>
      <c r="S20" s="311">
        <f t="shared" si="13"/>
        <v>480000</v>
      </c>
      <c r="T20" s="311">
        <f t="shared" si="13"/>
        <v>480000</v>
      </c>
      <c r="U20" s="311">
        <f t="shared" si="13"/>
        <v>480000</v>
      </c>
      <c r="V20" s="311">
        <f t="shared" si="13"/>
        <v>480000</v>
      </c>
      <c r="W20" s="311">
        <f t="shared" si="13"/>
        <v>480000</v>
      </c>
      <c r="X20" s="311">
        <f t="shared" si="13"/>
        <v>480000</v>
      </c>
      <c r="Y20" s="311">
        <f t="shared" si="13"/>
        <v>480000</v>
      </c>
      <c r="Z20" s="311">
        <f t="shared" si="13"/>
        <v>0</v>
      </c>
      <c r="AA20" s="311">
        <f t="shared" si="13"/>
        <v>0</v>
      </c>
      <c r="AB20" s="125">
        <f t="shared" si="13"/>
        <v>0</v>
      </c>
      <c r="AC20" s="125">
        <f t="shared" si="13"/>
        <v>0</v>
      </c>
      <c r="AD20" s="125">
        <f t="shared" si="13"/>
        <v>0</v>
      </c>
      <c r="AE20" s="125">
        <f t="shared" si="2"/>
        <v>9600000</v>
      </c>
    </row>
    <row r="21" spans="2:31" ht="38.25" customHeight="1">
      <c r="B21" s="330"/>
      <c r="C21" s="332" t="str">
        <f>C49</f>
        <v>20年後の現状復帰費用積み立て</v>
      </c>
      <c r="D21" s="333">
        <f>D49</f>
        <v>0</v>
      </c>
      <c r="E21" s="314"/>
      <c r="F21" s="315">
        <f>F49</f>
        <v>0</v>
      </c>
      <c r="G21" s="315">
        <f t="shared" ref="G21:AD21" si="14">G49</f>
        <v>0</v>
      </c>
      <c r="H21" s="315">
        <f t="shared" si="14"/>
        <v>0</v>
      </c>
      <c r="I21" s="315">
        <f t="shared" si="14"/>
        <v>0</v>
      </c>
      <c r="J21" s="315">
        <f t="shared" si="14"/>
        <v>0</v>
      </c>
      <c r="K21" s="315">
        <f t="shared" si="14"/>
        <v>0</v>
      </c>
      <c r="L21" s="315">
        <f t="shared" si="14"/>
        <v>0</v>
      </c>
      <c r="M21" s="315">
        <f t="shared" si="14"/>
        <v>0</v>
      </c>
      <c r="N21" s="315">
        <f t="shared" si="14"/>
        <v>0</v>
      </c>
      <c r="O21" s="315">
        <f t="shared" si="14"/>
        <v>0</v>
      </c>
      <c r="P21" s="315">
        <f t="shared" si="14"/>
        <v>0</v>
      </c>
      <c r="Q21" s="315">
        <f t="shared" si="14"/>
        <v>0</v>
      </c>
      <c r="R21" s="315">
        <f t="shared" si="14"/>
        <v>0</v>
      </c>
      <c r="S21" s="315">
        <f t="shared" si="14"/>
        <v>0</v>
      </c>
      <c r="T21" s="315">
        <f t="shared" si="14"/>
        <v>0</v>
      </c>
      <c r="U21" s="315">
        <f t="shared" si="14"/>
        <v>0</v>
      </c>
      <c r="V21" s="315">
        <f t="shared" si="14"/>
        <v>0</v>
      </c>
      <c r="W21" s="315">
        <f t="shared" si="14"/>
        <v>0</v>
      </c>
      <c r="X21" s="315">
        <f t="shared" si="14"/>
        <v>0</v>
      </c>
      <c r="Y21" s="315">
        <f t="shared" si="14"/>
        <v>2034317.7964424628</v>
      </c>
      <c r="Z21" s="315">
        <f t="shared" si="14"/>
        <v>0</v>
      </c>
      <c r="AA21" s="315">
        <f t="shared" si="14"/>
        <v>0</v>
      </c>
      <c r="AB21" s="127">
        <f t="shared" si="14"/>
        <v>0</v>
      </c>
      <c r="AC21" s="127">
        <f t="shared" si="14"/>
        <v>0</v>
      </c>
      <c r="AD21" s="127">
        <f t="shared" si="14"/>
        <v>0</v>
      </c>
      <c r="AE21" s="127"/>
    </row>
    <row r="22" spans="2:31" ht="38.25" customHeight="1">
      <c r="B22" s="330"/>
      <c r="C22" s="331" t="str">
        <f>C50</f>
        <v>売電メーターの交換</v>
      </c>
      <c r="D22" s="331"/>
      <c r="E22" s="307"/>
      <c r="F22" s="311">
        <f>F50</f>
        <v>0</v>
      </c>
      <c r="G22" s="311">
        <f t="shared" ref="G22:AD22" si="15">G50</f>
        <v>0</v>
      </c>
      <c r="H22" s="311">
        <f t="shared" si="15"/>
        <v>0</v>
      </c>
      <c r="I22" s="311">
        <f t="shared" si="15"/>
        <v>0</v>
      </c>
      <c r="J22" s="311">
        <f t="shared" si="15"/>
        <v>0</v>
      </c>
      <c r="K22" s="311">
        <f t="shared" si="15"/>
        <v>0</v>
      </c>
      <c r="L22" s="311">
        <f t="shared" si="15"/>
        <v>0</v>
      </c>
      <c r="M22" s="311">
        <f t="shared" si="15"/>
        <v>0</v>
      </c>
      <c r="N22" s="311">
        <f t="shared" si="15"/>
        <v>0</v>
      </c>
      <c r="O22" s="311">
        <f t="shared" si="15"/>
        <v>200000</v>
      </c>
      <c r="P22" s="311">
        <f t="shared" si="15"/>
        <v>0</v>
      </c>
      <c r="Q22" s="311">
        <f t="shared" si="15"/>
        <v>0</v>
      </c>
      <c r="R22" s="311">
        <f t="shared" si="15"/>
        <v>0</v>
      </c>
      <c r="S22" s="311">
        <f t="shared" si="15"/>
        <v>0</v>
      </c>
      <c r="T22" s="311">
        <f t="shared" si="15"/>
        <v>0</v>
      </c>
      <c r="U22" s="311">
        <f t="shared" si="15"/>
        <v>0</v>
      </c>
      <c r="V22" s="311">
        <f t="shared" si="15"/>
        <v>0</v>
      </c>
      <c r="W22" s="311">
        <f t="shared" si="15"/>
        <v>0</v>
      </c>
      <c r="X22" s="311">
        <f t="shared" si="15"/>
        <v>0</v>
      </c>
      <c r="Y22" s="311">
        <f t="shared" si="15"/>
        <v>0</v>
      </c>
      <c r="Z22" s="311">
        <f t="shared" si="15"/>
        <v>0</v>
      </c>
      <c r="AA22" s="311">
        <f t="shared" si="15"/>
        <v>0</v>
      </c>
      <c r="AB22" s="125">
        <f t="shared" si="15"/>
        <v>0</v>
      </c>
      <c r="AC22" s="125">
        <f t="shared" si="15"/>
        <v>0</v>
      </c>
      <c r="AD22" s="125">
        <f t="shared" si="15"/>
        <v>0</v>
      </c>
      <c r="AE22" s="125"/>
    </row>
    <row r="23" spans="2:31" ht="38.25" customHeight="1">
      <c r="B23" s="330"/>
      <c r="C23" s="331" t="s">
        <v>83</v>
      </c>
      <c r="D23" s="331"/>
      <c r="E23" s="307"/>
      <c r="F23" s="311">
        <f t="shared" ref="F23:AD23" si="16">F51</f>
        <v>0</v>
      </c>
      <c r="G23" s="311">
        <f t="shared" si="16"/>
        <v>0</v>
      </c>
      <c r="H23" s="311">
        <f t="shared" si="16"/>
        <v>0</v>
      </c>
      <c r="I23" s="311">
        <f t="shared" si="16"/>
        <v>0</v>
      </c>
      <c r="J23" s="311">
        <f t="shared" si="16"/>
        <v>0</v>
      </c>
      <c r="K23" s="311">
        <f t="shared" si="16"/>
        <v>0</v>
      </c>
      <c r="L23" s="311">
        <f t="shared" si="16"/>
        <v>0</v>
      </c>
      <c r="M23" s="311">
        <f t="shared" si="16"/>
        <v>0</v>
      </c>
      <c r="N23" s="311">
        <f t="shared" si="16"/>
        <v>0</v>
      </c>
      <c r="O23" s="311">
        <f t="shared" si="16"/>
        <v>0</v>
      </c>
      <c r="P23" s="311">
        <f t="shared" si="16"/>
        <v>0</v>
      </c>
      <c r="Q23" s="311">
        <f t="shared" si="16"/>
        <v>0</v>
      </c>
      <c r="R23" s="311">
        <f t="shared" si="16"/>
        <v>0</v>
      </c>
      <c r="S23" s="311">
        <f t="shared" si="16"/>
        <v>0</v>
      </c>
      <c r="T23" s="311">
        <f t="shared" si="16"/>
        <v>0</v>
      </c>
      <c r="U23" s="311">
        <f t="shared" si="16"/>
        <v>0</v>
      </c>
      <c r="V23" s="311">
        <f t="shared" si="16"/>
        <v>0</v>
      </c>
      <c r="W23" s="311">
        <f t="shared" si="16"/>
        <v>0</v>
      </c>
      <c r="X23" s="311">
        <f t="shared" si="16"/>
        <v>0</v>
      </c>
      <c r="Y23" s="311">
        <f t="shared" si="16"/>
        <v>0</v>
      </c>
      <c r="Z23" s="311">
        <f t="shared" si="16"/>
        <v>0</v>
      </c>
      <c r="AA23" s="311">
        <f t="shared" si="16"/>
        <v>0</v>
      </c>
      <c r="AB23" s="125">
        <f t="shared" si="16"/>
        <v>0</v>
      </c>
      <c r="AC23" s="125">
        <f t="shared" si="16"/>
        <v>0</v>
      </c>
      <c r="AD23" s="125">
        <f t="shared" si="16"/>
        <v>0</v>
      </c>
      <c r="AE23" s="125">
        <f t="shared" si="2"/>
        <v>0</v>
      </c>
    </row>
    <row r="24" spans="2:31" ht="38.25" customHeight="1">
      <c r="B24" s="734" t="s">
        <v>18</v>
      </c>
      <c r="C24" s="734"/>
      <c r="D24" s="334"/>
      <c r="E24" s="316"/>
      <c r="F24" s="317">
        <f t="shared" ref="F24:AD24" si="17">F5-F9</f>
        <v>8032539.118253924</v>
      </c>
      <c r="G24" s="317">
        <f t="shared" si="17"/>
        <v>9608423.3414561376</v>
      </c>
      <c r="H24" s="317">
        <f t="shared" si="17"/>
        <v>10644116.960872874</v>
      </c>
      <c r="I24" s="317">
        <f t="shared" si="17"/>
        <v>11620810.76111</v>
      </c>
      <c r="J24" s="317">
        <f t="shared" si="17"/>
        <v>12546123.110440984</v>
      </c>
      <c r="K24" s="317">
        <f t="shared" si="17"/>
        <v>13426704.217412211</v>
      </c>
      <c r="L24" s="317">
        <f t="shared" si="17"/>
        <v>14268359.090263404</v>
      </c>
      <c r="M24" s="317">
        <f t="shared" si="17"/>
        <v>15076154.880485408</v>
      </c>
      <c r="N24" s="317">
        <f t="shared" si="17"/>
        <v>15502242.055015467</v>
      </c>
      <c r="O24" s="317">
        <f t="shared" si="17"/>
        <v>15286431.73078391</v>
      </c>
      <c r="P24" s="317">
        <f t="shared" si="17"/>
        <v>15448415.751969054</v>
      </c>
      <c r="Q24" s="317">
        <f t="shared" si="17"/>
        <v>15391135.304531798</v>
      </c>
      <c r="R24" s="317">
        <f t="shared" si="17"/>
        <v>15317157.438476831</v>
      </c>
      <c r="S24" s="317">
        <f t="shared" si="17"/>
        <v>15228722.586145855</v>
      </c>
      <c r="T24" s="317">
        <f t="shared" si="17"/>
        <v>15127786.045672208</v>
      </c>
      <c r="U24" s="317">
        <f t="shared" si="17"/>
        <v>15016054.196021963</v>
      </c>
      <c r="V24" s="317">
        <f t="shared" si="17"/>
        <v>14895016.112709649</v>
      </c>
      <c r="W24" s="317">
        <f t="shared" si="17"/>
        <v>32125871.003597364</v>
      </c>
      <c r="X24" s="317">
        <f t="shared" si="17"/>
        <v>31989952.962943997</v>
      </c>
      <c r="Y24" s="317">
        <f t="shared" si="17"/>
        <v>31297717.021845687</v>
      </c>
      <c r="Z24" s="317">
        <f t="shared" si="17"/>
        <v>33665211.95291391</v>
      </c>
      <c r="AA24" s="317">
        <f t="shared" si="17"/>
        <v>33514120.972590957</v>
      </c>
      <c r="AB24" s="128">
        <f t="shared" si="17"/>
        <v>33346490.961723387</v>
      </c>
      <c r="AC24" s="128">
        <f t="shared" si="17"/>
        <v>33161469.524833567</v>
      </c>
      <c r="AD24" s="128">
        <f t="shared" si="17"/>
        <v>32977373.195128202</v>
      </c>
      <c r="AE24" s="128">
        <f t="shared" si="2"/>
        <v>494514400.29719877</v>
      </c>
    </row>
    <row r="25" spans="2:31" ht="38.25" customHeight="1">
      <c r="B25" s="726" t="s">
        <v>12</v>
      </c>
      <c r="C25" s="726"/>
      <c r="D25" s="335"/>
      <c r="E25" s="307"/>
      <c r="F25" s="311">
        <f>IF(F24&gt;=0,F24*初期条件!$D$91,0)</f>
        <v>2048297.4751547507</v>
      </c>
      <c r="G25" s="311">
        <f>IF(G2&lt;=8,IF((F28+G24)&gt;=0,G24*初期条件!$D$91,0),IF(G24&gt;=0,G24*初期条件!$D$91,0))</f>
        <v>2450147.9520713151</v>
      </c>
      <c r="H25" s="311">
        <f>IF(H2&lt;=8,IF((G28+H24)&gt;=0,H24*初期条件!$D$91,0),IF(H24&gt;=0,H24*初期条件!$D$91,0))</f>
        <v>2714249.8250225829</v>
      </c>
      <c r="I25" s="311">
        <f>IF(I2&lt;=8,IF((H28+I24)&gt;=0,I24*初期条件!$D$91,0),IF(I24&gt;=0,I24*初期条件!$D$91,0))</f>
        <v>2963306.7440830502</v>
      </c>
      <c r="J25" s="311">
        <f>IF(J2&lt;=8,IF((I28+J24)&gt;=0,J24*初期条件!$D$91,0),IF(J24&gt;=0,J24*初期条件!$D$91,0))</f>
        <v>3199261.3931624512</v>
      </c>
      <c r="K25" s="311">
        <f>IF(K2&lt;=8,IF((J28+K24)&gt;=0,K24*初期条件!$D$91,0),IF(K24&gt;=0,K24*初期条件!$D$91,0))</f>
        <v>3423809.5754401139</v>
      </c>
      <c r="L25" s="311">
        <f>IF(L2&lt;=8,IF((K28+L24)&gt;=0,L24*初期条件!$D$91,0),IF(L24&gt;=0,L24*初期条件!$D$91,0))</f>
        <v>3638431.568017168</v>
      </c>
      <c r="M25" s="311">
        <f>IF(M2&lt;=8,IF((L28+M24)&gt;=0,M24*初期条件!$D$91,0),IF(M24&gt;=0,M24*初期条件!$D$91,0))</f>
        <v>3844419.494523779</v>
      </c>
      <c r="N25" s="311">
        <f>IF(N2&lt;=8,IF((M28+N24)&gt;=0,N24*初期条件!$D$91,0),IF(N24&gt;=0,N24*初期条件!$D$91,0))</f>
        <v>3953071.724028944</v>
      </c>
      <c r="O25" s="311">
        <f>IF(O2&lt;=8,IF((N28+O24)&gt;=0,O24*初期条件!$D$91,0),IF(O24&gt;=0,O24*初期条件!$D$91,0))</f>
        <v>3898040.091349897</v>
      </c>
      <c r="P25" s="311">
        <f>IF(P2&lt;=8,IF((O28+P24)&gt;=0,P24*初期条件!$D$91,0),IF(P24&gt;=0,P24*初期条件!$D$91,0))</f>
        <v>3939346.0167521089</v>
      </c>
      <c r="Q25" s="311">
        <f>IF(Q2&lt;=8,IF((P28+Q24)&gt;=0,Q24*初期条件!$D$91,0),IF(Q24&gt;=0,Q24*初期条件!$D$91,0))</f>
        <v>3924739.5026556086</v>
      </c>
      <c r="R25" s="311">
        <f>IF(R2&lt;=8,IF((Q28+R24)&gt;=0,R24*初期条件!$D$91,0),IF(R24&gt;=0,R24*初期条件!$D$91,0))</f>
        <v>3905875.1468115919</v>
      </c>
      <c r="S25" s="311">
        <f>IF(S2&lt;=8,IF((R28+S24)&gt;=0,S24*初期条件!$D$91,0),IF(S24&gt;=0,S24*初期条件!$D$91,0))</f>
        <v>3883324.2594671934</v>
      </c>
      <c r="T25" s="311">
        <f>IF(T2&lt;=8,IF((S28+T24)&gt;=0,T24*初期条件!$D$91,0),IF(T24&gt;=0,T24*初期条件!$D$91,0))</f>
        <v>3857585.4416464129</v>
      </c>
      <c r="U25" s="311">
        <f>IF(U2&lt;=8,IF((T28+U24)&gt;=0,U24*初期条件!$D$91,0),IF(U24&gt;=0,U24*初期条件!$D$91,0))</f>
        <v>3829093.8199856007</v>
      </c>
      <c r="V25" s="311">
        <f>IF(V2&lt;=8,IF((U28+V24)&gt;=0,V24*初期条件!$D$91,0),IF(V24&gt;=0,V24*初期条件!$D$91,0))</f>
        <v>3798229.1087409607</v>
      </c>
      <c r="W25" s="311">
        <f>IF(W2&lt;=8,IF((V28+W24)&gt;=0,W24*初期条件!$D$91,0),IF(W24&gt;=0,W24*初期条件!$D$91,0))</f>
        <v>8192097.105917328</v>
      </c>
      <c r="X25" s="311">
        <f>IF(X2&lt;=8,IF((W28+X24)&gt;=0,X24*初期条件!$D$91,0),IF(X24&gt;=0,X24*初期条件!$D$91,0))</f>
        <v>8157438.0055507198</v>
      </c>
      <c r="Y25" s="311">
        <f>IF(Y2&lt;=8,IF((X28+Y24)&gt;=0,Y24*初期条件!$D$91,0),IF(Y24&gt;=0,Y24*初期条件!$D$91,0))</f>
        <v>7980917.8405706501</v>
      </c>
      <c r="Z25" s="311">
        <f>IF(Z2&lt;=8,IF((Y28+Z24)&gt;=0,Z24*初期条件!$D$91,0),IF(Z24&gt;=0,Z24*初期条件!$D$91,0))</f>
        <v>8584629.0479930472</v>
      </c>
      <c r="AA25" s="311">
        <f>IF(AA2&lt;=8,IF((Z28+AA24)&gt;=0,AA24*初期条件!$D$91,0),IF(AA24&gt;=0,AA24*初期条件!$D$91,0))</f>
        <v>8546100.8480106946</v>
      </c>
      <c r="AB25" s="125">
        <f>IF(AB2&lt;=8,IF((AA28+AB24)&gt;=0,AB24*初期条件!$D$91,0),IF(AB24&gt;=0,AB24*初期条件!$D$91,0))</f>
        <v>8503355.1952394638</v>
      </c>
      <c r="AC25" s="125">
        <f>IF(AC2&lt;=8,IF((AB28+AC24)&gt;=0,AC24*初期条件!$D$91,0),IF(AC24&gt;=0,AC24*初期条件!$D$91,0))</f>
        <v>8456174.7288325597</v>
      </c>
      <c r="AD25" s="125">
        <f>IF(AD2&lt;=8,IF((AC28+AD24)&gt;=0,AD24*初期条件!$D$91,0),IF(AD24&gt;=0,AD24*初期条件!$D$91,0))</f>
        <v>8409230.1647576913</v>
      </c>
      <c r="AE25" s="125">
        <f t="shared" si="2"/>
        <v>126101172.0757857</v>
      </c>
    </row>
    <row r="26" spans="2:31" ht="38.25" customHeight="1">
      <c r="B26" s="727" t="s">
        <v>203</v>
      </c>
      <c r="C26" s="728"/>
      <c r="D26" s="379"/>
      <c r="E26" s="380"/>
      <c r="F26" s="381">
        <f>F24*初期条件!$D92</f>
        <v>425724.57326745795</v>
      </c>
      <c r="G26" s="381">
        <f>G24*初期条件!$D92</f>
        <v>509246.43709717528</v>
      </c>
      <c r="H26" s="381">
        <f>H24*初期条件!$D92</f>
        <v>564138.19892626232</v>
      </c>
      <c r="I26" s="381">
        <f>I24*初期条件!$D92</f>
        <v>615902.97033883003</v>
      </c>
      <c r="J26" s="381">
        <f>J24*初期条件!$D92</f>
        <v>664944.52485337213</v>
      </c>
      <c r="K26" s="381">
        <f>K24*初期条件!$D92</f>
        <v>711615.32352284715</v>
      </c>
      <c r="L26" s="381">
        <f>L24*初期条件!$D92</f>
        <v>756223.03178396041</v>
      </c>
      <c r="M26" s="381">
        <f>M24*初期条件!$D92</f>
        <v>799036.20866572659</v>
      </c>
      <c r="N26" s="381">
        <f>N24*初期条件!$D92</f>
        <v>821618.82891581976</v>
      </c>
      <c r="O26" s="381">
        <f>O24*初期条件!$D92</f>
        <v>810180.88173154718</v>
      </c>
      <c r="P26" s="381">
        <f>P24*初期条件!$D92</f>
        <v>818766.03485435981</v>
      </c>
      <c r="Q26" s="381">
        <f>Q24*初期条件!$D92</f>
        <v>815730.17114018521</v>
      </c>
      <c r="R26" s="381">
        <f>R24*初期条件!$D92</f>
        <v>811809.34423927206</v>
      </c>
      <c r="S26" s="381">
        <f>S24*初期条件!$D92</f>
        <v>807122.29706573032</v>
      </c>
      <c r="T26" s="381">
        <f>T24*初期条件!$D92</f>
        <v>801772.66042062698</v>
      </c>
      <c r="U26" s="381">
        <f>U24*初期条件!$D92</f>
        <v>795850.87238916405</v>
      </c>
      <c r="V26" s="381">
        <f>V24*初期条件!$D92</f>
        <v>789435.85397361137</v>
      </c>
      <c r="W26" s="381">
        <f>W24*初期条件!$D92</f>
        <v>1702671.1631906603</v>
      </c>
      <c r="X26" s="381">
        <f>X24*初期条件!$D92</f>
        <v>1695467.5070360317</v>
      </c>
      <c r="Y26" s="381">
        <f>Y24*初期条件!$D92</f>
        <v>1658779.0021578213</v>
      </c>
      <c r="Z26" s="381">
        <f>Z24*初期条件!$D92</f>
        <v>1784256.2335044371</v>
      </c>
      <c r="AA26" s="381">
        <f>AA24*初期条件!$D92</f>
        <v>1776248.4115473207</v>
      </c>
      <c r="AB26" s="381">
        <f>AB24*初期条件!$D92</f>
        <v>1767364.0209713394</v>
      </c>
      <c r="AC26" s="381">
        <f>AC24*初期条件!$D92</f>
        <v>1757557.8848161791</v>
      </c>
      <c r="AD26" s="381">
        <f>AD24*初期条件!$D92</f>
        <v>1747800.7793417948</v>
      </c>
      <c r="AE26" s="382"/>
    </row>
    <row r="27" spans="2:31" ht="38.25" customHeight="1">
      <c r="B27" s="736" t="s">
        <v>19</v>
      </c>
      <c r="C27" s="736"/>
      <c r="D27" s="336"/>
      <c r="E27" s="318"/>
      <c r="F27" s="319">
        <f t="shared" ref="F27:X27" si="18">F24-F25</f>
        <v>5984241.643099173</v>
      </c>
      <c r="G27" s="319">
        <f t="shared" si="18"/>
        <v>7158275.3893848229</v>
      </c>
      <c r="H27" s="319">
        <f t="shared" si="18"/>
        <v>7929867.1358502908</v>
      </c>
      <c r="I27" s="319">
        <f t="shared" si="18"/>
        <v>8657504.0170269497</v>
      </c>
      <c r="J27" s="319">
        <f t="shared" si="18"/>
        <v>9346861.7172785327</v>
      </c>
      <c r="K27" s="319">
        <f t="shared" si="18"/>
        <v>10002894.641972097</v>
      </c>
      <c r="L27" s="319">
        <f t="shared" si="18"/>
        <v>10629927.522246236</v>
      </c>
      <c r="M27" s="319">
        <f t="shared" si="18"/>
        <v>11231735.385961629</v>
      </c>
      <c r="N27" s="319">
        <f t="shared" si="18"/>
        <v>11549170.330986522</v>
      </c>
      <c r="O27" s="319">
        <f t="shared" si="18"/>
        <v>11388391.639434014</v>
      </c>
      <c r="P27" s="319">
        <f t="shared" si="18"/>
        <v>11509069.735216945</v>
      </c>
      <c r="Q27" s="319">
        <f t="shared" si="18"/>
        <v>11466395.801876189</v>
      </c>
      <c r="R27" s="319">
        <f t="shared" si="18"/>
        <v>11411282.291665239</v>
      </c>
      <c r="S27" s="319">
        <f t="shared" si="18"/>
        <v>11345398.326678662</v>
      </c>
      <c r="T27" s="319">
        <f t="shared" si="18"/>
        <v>11270200.604025796</v>
      </c>
      <c r="U27" s="319">
        <f t="shared" si="18"/>
        <v>11186960.376036363</v>
      </c>
      <c r="V27" s="319">
        <f t="shared" si="18"/>
        <v>11096787.003968688</v>
      </c>
      <c r="W27" s="319">
        <f t="shared" si="18"/>
        <v>23933773.897680037</v>
      </c>
      <c r="X27" s="319">
        <f t="shared" si="18"/>
        <v>23832514.957393277</v>
      </c>
      <c r="Y27" s="319">
        <f t="shared" ref="Y27:AD27" si="19">Y24-Y25</f>
        <v>23316799.181275036</v>
      </c>
      <c r="Z27" s="319">
        <f t="shared" si="19"/>
        <v>25080582.904920861</v>
      </c>
      <c r="AA27" s="319">
        <f t="shared" si="19"/>
        <v>24968020.124580264</v>
      </c>
      <c r="AB27" s="129">
        <f t="shared" si="19"/>
        <v>24843135.766483925</v>
      </c>
      <c r="AC27" s="129">
        <f t="shared" si="19"/>
        <v>24705294.79600101</v>
      </c>
      <c r="AD27" s="129">
        <f t="shared" si="19"/>
        <v>24568143.030370511</v>
      </c>
      <c r="AE27" s="129">
        <f t="shared" si="2"/>
        <v>368413228.22141308</v>
      </c>
    </row>
    <row r="28" spans="2:31" ht="38.25" customHeight="1">
      <c r="B28" s="735" t="s">
        <v>103</v>
      </c>
      <c r="C28" s="735"/>
      <c r="D28" s="302"/>
      <c r="E28" s="320"/>
      <c r="F28" s="321">
        <f>F27</f>
        <v>5984241.643099173</v>
      </c>
      <c r="G28" s="321">
        <f t="shared" ref="G28:AD28" si="20">F28+G24</f>
        <v>15592664.984555312</v>
      </c>
      <c r="H28" s="321">
        <f t="shared" si="20"/>
        <v>26236781.945428185</v>
      </c>
      <c r="I28" s="321">
        <f t="shared" si="20"/>
        <v>37857592.706538185</v>
      </c>
      <c r="J28" s="321">
        <f t="shared" si="20"/>
        <v>50403715.81697917</v>
      </c>
      <c r="K28" s="321">
        <f t="shared" si="20"/>
        <v>63830420.034391381</v>
      </c>
      <c r="L28" s="321">
        <f t="shared" si="20"/>
        <v>78098779.124654785</v>
      </c>
      <c r="M28" s="321">
        <f t="shared" si="20"/>
        <v>93174934.005140185</v>
      </c>
      <c r="N28" s="321">
        <f t="shared" si="20"/>
        <v>108677176.06015566</v>
      </c>
      <c r="O28" s="321">
        <f t="shared" si="20"/>
        <v>123963607.79093957</v>
      </c>
      <c r="P28" s="321">
        <f t="shared" si="20"/>
        <v>139412023.54290861</v>
      </c>
      <c r="Q28" s="321">
        <f t="shared" si="20"/>
        <v>154803158.84744042</v>
      </c>
      <c r="R28" s="321">
        <f t="shared" si="20"/>
        <v>170120316.28591725</v>
      </c>
      <c r="S28" s="321">
        <f t="shared" si="20"/>
        <v>185349038.8720631</v>
      </c>
      <c r="T28" s="321">
        <f t="shared" si="20"/>
        <v>200476824.91773531</v>
      </c>
      <c r="U28" s="321">
        <f t="shared" si="20"/>
        <v>215492879.11375728</v>
      </c>
      <c r="V28" s="321">
        <f t="shared" si="20"/>
        <v>230387895.22646692</v>
      </c>
      <c r="W28" s="321">
        <f t="shared" si="20"/>
        <v>262513766.23006427</v>
      </c>
      <c r="X28" s="321">
        <f t="shared" si="20"/>
        <v>294503719.19300824</v>
      </c>
      <c r="Y28" s="321">
        <f t="shared" si="20"/>
        <v>325801436.21485394</v>
      </c>
      <c r="Z28" s="321">
        <f t="shared" si="20"/>
        <v>359466648.16776788</v>
      </c>
      <c r="AA28" s="321">
        <f t="shared" si="20"/>
        <v>392980769.14035887</v>
      </c>
      <c r="AB28" s="130">
        <f t="shared" si="20"/>
        <v>426327260.10208225</v>
      </c>
      <c r="AC28" s="130">
        <f t="shared" si="20"/>
        <v>459488729.62691581</v>
      </c>
      <c r="AD28" s="130">
        <f t="shared" si="20"/>
        <v>492466102.82204401</v>
      </c>
      <c r="AE28" s="130">
        <f>AD28</f>
        <v>492466102.82204401</v>
      </c>
    </row>
    <row r="29" spans="2:31" s="3" customFormat="1" ht="14.25" customHeight="1" thickBot="1">
      <c r="B29" s="337"/>
      <c r="C29" s="337"/>
      <c r="D29" s="337"/>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row>
    <row r="30" spans="2:31" ht="27.75" customHeight="1" thickTop="1" thickBot="1">
      <c r="B30" s="737" t="s">
        <v>137</v>
      </c>
      <c r="C30" s="738"/>
      <c r="D30" s="739"/>
      <c r="E30" s="292" t="s">
        <v>13</v>
      </c>
      <c r="F30" s="293">
        <v>1</v>
      </c>
      <c r="G30" s="293">
        <v>2</v>
      </c>
      <c r="H30" s="293">
        <v>3</v>
      </c>
      <c r="I30" s="293">
        <v>4</v>
      </c>
      <c r="J30" s="293">
        <v>5</v>
      </c>
      <c r="K30" s="293">
        <v>6</v>
      </c>
      <c r="L30" s="293">
        <v>7</v>
      </c>
      <c r="M30" s="293">
        <v>8</v>
      </c>
      <c r="N30" s="293">
        <v>9</v>
      </c>
      <c r="O30" s="293">
        <v>10</v>
      </c>
      <c r="P30" s="293">
        <v>11</v>
      </c>
      <c r="Q30" s="293">
        <v>12</v>
      </c>
      <c r="R30" s="293">
        <v>13</v>
      </c>
      <c r="S30" s="293">
        <v>14</v>
      </c>
      <c r="T30" s="293">
        <v>15</v>
      </c>
      <c r="U30" s="293">
        <v>16</v>
      </c>
      <c r="V30" s="293">
        <v>17</v>
      </c>
      <c r="W30" s="293">
        <v>18</v>
      </c>
      <c r="X30" s="293">
        <v>19</v>
      </c>
      <c r="Y30" s="293">
        <v>20</v>
      </c>
      <c r="Z30" s="140">
        <v>21</v>
      </c>
      <c r="AA30" s="140">
        <v>22</v>
      </c>
      <c r="AB30" s="140">
        <v>23</v>
      </c>
      <c r="AC30" s="140">
        <v>24</v>
      </c>
      <c r="AD30" s="140">
        <v>25</v>
      </c>
      <c r="AE30" s="141" t="s">
        <v>14</v>
      </c>
    </row>
    <row r="31" spans="2:31" ht="27.75" customHeight="1" thickTop="1">
      <c r="B31" s="732" t="str">
        <f>B3</f>
        <v>初期投資　　　　　　設置ＫＷ数--＞</v>
      </c>
      <c r="C31" s="732"/>
      <c r="D31" s="322">
        <f>D3</f>
        <v>2002</v>
      </c>
      <c r="E31" s="344"/>
      <c r="F31" s="298"/>
      <c r="G31" s="298"/>
      <c r="H31" s="298"/>
      <c r="I31" s="298"/>
      <c r="J31" s="298"/>
      <c r="K31" s="298"/>
      <c r="L31" s="298"/>
      <c r="M31" s="298"/>
      <c r="N31" s="298"/>
      <c r="O31" s="298"/>
      <c r="P31" s="298"/>
      <c r="Q31" s="298"/>
      <c r="R31" s="298"/>
      <c r="S31" s="298"/>
      <c r="T31" s="298"/>
      <c r="U31" s="298"/>
      <c r="V31" s="298"/>
      <c r="W31" s="298"/>
      <c r="X31" s="298"/>
      <c r="Y31" s="298"/>
      <c r="Z31" s="125"/>
      <c r="AA31" s="125"/>
      <c r="AB31" s="125"/>
      <c r="AC31" s="125"/>
      <c r="AD31" s="125"/>
      <c r="AE31" s="125"/>
    </row>
    <row r="32" spans="2:31" ht="27.75" customHeight="1">
      <c r="B32" s="323"/>
      <c r="C32" s="324" t="s">
        <v>15</v>
      </c>
      <c r="D32" s="325">
        <f>D4</f>
        <v>325331059.19999999</v>
      </c>
      <c r="E32" s="345"/>
      <c r="F32" s="298"/>
      <c r="G32" s="298"/>
      <c r="H32" s="298"/>
      <c r="I32" s="298"/>
      <c r="J32" s="298"/>
      <c r="K32" s="298"/>
      <c r="L32" s="298"/>
      <c r="M32" s="298"/>
      <c r="N32" s="298"/>
      <c r="O32" s="298"/>
      <c r="P32" s="298"/>
      <c r="Q32" s="298"/>
      <c r="R32" s="298"/>
      <c r="S32" s="298"/>
      <c r="T32" s="298"/>
      <c r="U32" s="298"/>
      <c r="V32" s="298"/>
      <c r="W32" s="298"/>
      <c r="X32" s="298"/>
      <c r="Y32" s="298"/>
      <c r="Z32" s="125"/>
      <c r="AA32" s="125"/>
      <c r="AB32" s="125"/>
      <c r="AC32" s="125"/>
      <c r="AD32" s="125"/>
      <c r="AE32" s="125">
        <f>SUM(E32:AD32)</f>
        <v>0</v>
      </c>
    </row>
    <row r="33" spans="2:31" ht="27.75" customHeight="1">
      <c r="B33" s="323"/>
      <c r="C33" s="324" t="s">
        <v>145</v>
      </c>
      <c r="D33" s="338">
        <f>初期条件!F15</f>
        <v>97599317</v>
      </c>
      <c r="E33" s="295"/>
      <c r="F33" s="298"/>
      <c r="G33" s="298"/>
      <c r="H33" s="298"/>
      <c r="I33" s="298"/>
      <c r="J33" s="298"/>
      <c r="K33" s="298"/>
      <c r="L33" s="298"/>
      <c r="M33" s="298"/>
      <c r="N33" s="298"/>
      <c r="O33" s="298"/>
      <c r="P33" s="298"/>
      <c r="Q33" s="298"/>
      <c r="R33" s="298"/>
      <c r="S33" s="298"/>
      <c r="T33" s="298"/>
      <c r="U33" s="298"/>
      <c r="V33" s="298"/>
      <c r="W33" s="298"/>
      <c r="X33" s="298"/>
      <c r="Y33" s="298"/>
      <c r="Z33" s="125"/>
      <c r="AA33" s="125"/>
      <c r="AB33" s="125"/>
      <c r="AC33" s="125"/>
      <c r="AD33" s="125"/>
      <c r="AE33" s="125">
        <f>SUM(E33:AD33)</f>
        <v>0</v>
      </c>
    </row>
    <row r="34" spans="2:31" ht="27.75" customHeight="1">
      <c r="B34" s="720" t="s">
        <v>16</v>
      </c>
      <c r="C34" s="720"/>
      <c r="D34" s="568">
        <f>F38</f>
        <v>44392502.359841175</v>
      </c>
      <c r="E34" s="296"/>
      <c r="F34" s="297">
        <f t="shared" ref="F34:AD34" si="21">SUM(F35:F37)</f>
        <v>41318473.538389243</v>
      </c>
      <c r="G34" s="297">
        <f t="shared" si="21"/>
        <v>41111881.170697294</v>
      </c>
      <c r="H34" s="297">
        <f t="shared" si="21"/>
        <v>40906321.764843807</v>
      </c>
      <c r="I34" s="297">
        <f t="shared" si="21"/>
        <v>40701790.156019591</v>
      </c>
      <c r="J34" s="297">
        <f t="shared" si="21"/>
        <v>40498281.20523949</v>
      </c>
      <c r="K34" s="297">
        <f t="shared" si="21"/>
        <v>40295789.799213298</v>
      </c>
      <c r="L34" s="297">
        <f t="shared" si="21"/>
        <v>40094310.850217231</v>
      </c>
      <c r="M34" s="297">
        <f t="shared" si="21"/>
        <v>39893839.295966141</v>
      </c>
      <c r="N34" s="297">
        <f t="shared" si="21"/>
        <v>39694370.099486314</v>
      </c>
      <c r="O34" s="297">
        <f t="shared" si="21"/>
        <v>39495898.248988882</v>
      </c>
      <c r="P34" s="297">
        <f t="shared" si="21"/>
        <v>39298418.75774394</v>
      </c>
      <c r="Q34" s="297">
        <f t="shared" si="21"/>
        <v>39101926.663955212</v>
      </c>
      <c r="R34" s="297">
        <f t="shared" si="21"/>
        <v>38906417.030635431</v>
      </c>
      <c r="S34" s="297">
        <f t="shared" si="21"/>
        <v>38711884.945482261</v>
      </c>
      <c r="T34" s="297">
        <f>SUM(T35:T37)</f>
        <v>38518325.520754844</v>
      </c>
      <c r="U34" s="297">
        <f>SUM(U35:U37)</f>
        <v>38325733.893151067</v>
      </c>
      <c r="V34" s="297">
        <f>SUM(V35:V37)</f>
        <v>38134105.223685309</v>
      </c>
      <c r="W34" s="297">
        <f>SUM(W35:W37)</f>
        <v>37943434.697566882</v>
      </c>
      <c r="X34" s="297">
        <f>SUM(X35:X37)</f>
        <v>37753717.524079047</v>
      </c>
      <c r="Y34" s="297">
        <f t="shared" si="21"/>
        <v>37564948.936458647</v>
      </c>
      <c r="Z34" s="124">
        <f t="shared" si="21"/>
        <v>37377124.191776358</v>
      </c>
      <c r="AA34" s="124">
        <f t="shared" si="21"/>
        <v>37190238.570817471</v>
      </c>
      <c r="AB34" s="124">
        <f t="shared" si="21"/>
        <v>37004287.377963386</v>
      </c>
      <c r="AC34" s="124">
        <f t="shared" si="21"/>
        <v>36819265.941073567</v>
      </c>
      <c r="AD34" s="124">
        <f t="shared" si="21"/>
        <v>36635169.611368202</v>
      </c>
      <c r="AE34" s="124">
        <f t="shared" ref="AE34:AE52" si="22">SUM(F34:AD34)</f>
        <v>973295955.01557291</v>
      </c>
    </row>
    <row r="35" spans="2:31" ht="27.75" customHeight="1">
      <c r="B35" s="327"/>
      <c r="C35" s="324" t="s">
        <v>77</v>
      </c>
      <c r="D35" s="569"/>
      <c r="E35" s="294"/>
      <c r="F35" s="298">
        <f>設備所有者の売電収入シナリオ!C11</f>
        <v>41318473.538389243</v>
      </c>
      <c r="G35" s="298">
        <f>設備所有者の売電収入シナリオ!D11</f>
        <v>41111881.170697294</v>
      </c>
      <c r="H35" s="298">
        <f>設備所有者の売電収入シナリオ!E11</f>
        <v>40906321.764843807</v>
      </c>
      <c r="I35" s="298">
        <f>設備所有者の売電収入シナリオ!F11</f>
        <v>40701790.156019591</v>
      </c>
      <c r="J35" s="298">
        <f>設備所有者の売電収入シナリオ!G11</f>
        <v>40498281.20523949</v>
      </c>
      <c r="K35" s="298">
        <f>設備所有者の売電収入シナリオ!C16</f>
        <v>40295789.799213298</v>
      </c>
      <c r="L35" s="298">
        <f>設備所有者の売電収入シナリオ!D16</f>
        <v>40094310.850217231</v>
      </c>
      <c r="M35" s="298">
        <f>設備所有者の売電収入シナリオ!E16</f>
        <v>39893839.295966141</v>
      </c>
      <c r="N35" s="298">
        <f>設備所有者の売電収入シナリオ!F16</f>
        <v>39694370.099486314</v>
      </c>
      <c r="O35" s="298">
        <f>設備所有者の売電収入シナリオ!G16</f>
        <v>39495898.248988882</v>
      </c>
      <c r="P35" s="298">
        <f>設備所有者の売電収入シナリオ!C21</f>
        <v>39298418.75774394</v>
      </c>
      <c r="Q35" s="298">
        <f>設備所有者の売電収入シナリオ!D21</f>
        <v>39101926.663955212</v>
      </c>
      <c r="R35" s="298">
        <f>設備所有者の売電収入シナリオ!E21</f>
        <v>38906417.030635431</v>
      </c>
      <c r="S35" s="298">
        <f>設備所有者の売電収入シナリオ!F21</f>
        <v>38711884.945482261</v>
      </c>
      <c r="T35" s="298">
        <f>設備所有者の売電収入シナリオ!G21</f>
        <v>38518325.520754844</v>
      </c>
      <c r="U35" s="298">
        <f>設備所有者の売電収入シナリオ!C26</f>
        <v>38325733.893151067</v>
      </c>
      <c r="V35" s="298">
        <f>設備所有者の売電収入シナリオ!D26</f>
        <v>38134105.223685309</v>
      </c>
      <c r="W35" s="298">
        <f>設備所有者の売電収入シナリオ!E26</f>
        <v>37943434.697566882</v>
      </c>
      <c r="X35" s="298">
        <f>設備所有者の売電収入シナリオ!F26</f>
        <v>37753717.524079047</v>
      </c>
      <c r="Y35" s="298">
        <f>設備所有者の売電収入シナリオ!G26</f>
        <v>37564948.936458647</v>
      </c>
      <c r="Z35" s="125">
        <f>設備所有者の売電収入シナリオ!C31</f>
        <v>37377124.191776358</v>
      </c>
      <c r="AA35" s="125">
        <f>設備所有者の売電収入シナリオ!D31</f>
        <v>37190238.570817471</v>
      </c>
      <c r="AB35" s="125">
        <f>設備所有者の売電収入シナリオ!E31</f>
        <v>37004287.377963386</v>
      </c>
      <c r="AC35" s="125">
        <f>設備所有者の売電収入シナリオ!F31</f>
        <v>36819265.941073567</v>
      </c>
      <c r="AD35" s="125">
        <f>設備所有者の売電収入シナリオ!G31</f>
        <v>36635169.611368202</v>
      </c>
      <c r="AE35" s="125">
        <f t="shared" si="22"/>
        <v>973295955.01557291</v>
      </c>
    </row>
    <row r="36" spans="2:31" ht="27.75" customHeight="1">
      <c r="B36" s="327"/>
      <c r="C36" s="324"/>
      <c r="D36" s="569"/>
      <c r="E36" s="294"/>
      <c r="F36" s="298">
        <v>0</v>
      </c>
      <c r="G36" s="298">
        <v>0</v>
      </c>
      <c r="H36" s="298">
        <v>0</v>
      </c>
      <c r="I36" s="298">
        <v>0</v>
      </c>
      <c r="J36" s="298">
        <v>0</v>
      </c>
      <c r="K36" s="298">
        <v>0</v>
      </c>
      <c r="L36" s="298">
        <v>0</v>
      </c>
      <c r="M36" s="298">
        <v>0</v>
      </c>
      <c r="N36" s="298">
        <v>0</v>
      </c>
      <c r="O36" s="298">
        <v>0</v>
      </c>
      <c r="P36" s="298">
        <v>0</v>
      </c>
      <c r="Q36" s="298">
        <v>0</v>
      </c>
      <c r="R36" s="298">
        <v>0</v>
      </c>
      <c r="S36" s="298">
        <v>0</v>
      </c>
      <c r="T36" s="298">
        <v>0</v>
      </c>
      <c r="U36" s="298">
        <v>0</v>
      </c>
      <c r="V36" s="298">
        <v>0</v>
      </c>
      <c r="W36" s="298">
        <v>0</v>
      </c>
      <c r="X36" s="298">
        <v>0</v>
      </c>
      <c r="Y36" s="298">
        <v>0</v>
      </c>
      <c r="Z36" s="125">
        <v>0</v>
      </c>
      <c r="AA36" s="125">
        <v>0</v>
      </c>
      <c r="AB36" s="125">
        <v>0</v>
      </c>
      <c r="AC36" s="125">
        <v>0</v>
      </c>
      <c r="AD36" s="125">
        <v>0</v>
      </c>
      <c r="AE36" s="125">
        <f t="shared" si="22"/>
        <v>0</v>
      </c>
    </row>
    <row r="37" spans="2:31" ht="27.75" customHeight="1">
      <c r="B37" s="328"/>
      <c r="C37" s="324" t="s">
        <v>73</v>
      </c>
      <c r="D37" s="324"/>
      <c r="E37" s="294"/>
      <c r="F37" s="298">
        <v>0</v>
      </c>
      <c r="G37" s="298">
        <v>0</v>
      </c>
      <c r="H37" s="298">
        <v>0</v>
      </c>
      <c r="I37" s="298">
        <v>0</v>
      </c>
      <c r="J37" s="298">
        <v>0</v>
      </c>
      <c r="K37" s="298">
        <v>0</v>
      </c>
      <c r="L37" s="298">
        <v>0</v>
      </c>
      <c r="M37" s="298">
        <v>0</v>
      </c>
      <c r="N37" s="298">
        <v>0</v>
      </c>
      <c r="O37" s="298">
        <v>0</v>
      </c>
      <c r="P37" s="298">
        <v>0</v>
      </c>
      <c r="Q37" s="298">
        <v>0</v>
      </c>
      <c r="R37" s="298">
        <v>0</v>
      </c>
      <c r="S37" s="298">
        <v>0</v>
      </c>
      <c r="T37" s="298">
        <v>0</v>
      </c>
      <c r="U37" s="298">
        <v>0</v>
      </c>
      <c r="V37" s="298">
        <v>0</v>
      </c>
      <c r="W37" s="298">
        <v>0</v>
      </c>
      <c r="X37" s="298">
        <v>0</v>
      </c>
      <c r="Y37" s="298">
        <v>0</v>
      </c>
      <c r="Z37" s="125">
        <v>0</v>
      </c>
      <c r="AA37" s="125">
        <v>0</v>
      </c>
      <c r="AB37" s="125">
        <v>0</v>
      </c>
      <c r="AC37" s="125">
        <v>0</v>
      </c>
      <c r="AD37" s="125">
        <v>0</v>
      </c>
      <c r="AE37" s="125">
        <f t="shared" si="22"/>
        <v>0</v>
      </c>
    </row>
    <row r="38" spans="2:31" ht="27.75" customHeight="1">
      <c r="B38" s="721" t="s">
        <v>17</v>
      </c>
      <c r="C38" s="721"/>
      <c r="D38" s="329"/>
      <c r="E38" s="299"/>
      <c r="F38" s="300">
        <f t="shared" ref="F38:AD38" si="23">SUM(F39:F51)</f>
        <v>44392502.359841175</v>
      </c>
      <c r="G38" s="300">
        <f t="shared" si="23"/>
        <v>43082489.178547055</v>
      </c>
      <c r="H38" s="300">
        <f t="shared" si="23"/>
        <v>41841236.153276816</v>
      </c>
      <c r="I38" s="300">
        <f t="shared" si="23"/>
        <v>40660010.744215429</v>
      </c>
      <c r="J38" s="300">
        <f t="shared" si="23"/>
        <v>39531189.444104359</v>
      </c>
      <c r="K38" s="300">
        <f t="shared" si="23"/>
        <v>38448116.931106925</v>
      </c>
      <c r="L38" s="300">
        <f t="shared" si="23"/>
        <v>37404983.109259687</v>
      </c>
      <c r="M38" s="300">
        <f t="shared" si="23"/>
        <v>36396715.764786571</v>
      </c>
      <c r="N38" s="300">
        <f t="shared" si="23"/>
        <v>7304691.6187766893</v>
      </c>
      <c r="O38" s="300">
        <f t="shared" si="23"/>
        <v>7322030.0925108492</v>
      </c>
      <c r="P38" s="300">
        <f t="shared" si="23"/>
        <v>6962566.5800807709</v>
      </c>
      <c r="Q38" s="300">
        <f t="shared" si="23"/>
        <v>6823354.9337293124</v>
      </c>
      <c r="R38" s="300">
        <f t="shared" si="23"/>
        <v>6701823.166464489</v>
      </c>
      <c r="S38" s="300">
        <f t="shared" si="23"/>
        <v>6595725.933642298</v>
      </c>
      <c r="T38" s="300">
        <f t="shared" si="23"/>
        <v>6503103.049388526</v>
      </c>
      <c r="U38" s="300">
        <f t="shared" si="23"/>
        <v>6422243.271434987</v>
      </c>
      <c r="V38" s="300">
        <f t="shared" si="23"/>
        <v>6351652.6852815431</v>
      </c>
      <c r="W38" s="300">
        <f t="shared" si="23"/>
        <v>6290027.1035695877</v>
      </c>
      <c r="X38" s="300">
        <f t="shared" si="23"/>
        <v>6236227.9707350498</v>
      </c>
      <c r="Y38" s="300">
        <f t="shared" si="23"/>
        <v>6739695.3242129618</v>
      </c>
      <c r="Z38" s="300">
        <f t="shared" si="23"/>
        <v>4184375.648462445</v>
      </c>
      <c r="AA38" s="300">
        <f t="shared" si="23"/>
        <v>4148581.0078265145</v>
      </c>
      <c r="AB38" s="300">
        <f t="shared" si="23"/>
        <v>4130259.8258399996</v>
      </c>
      <c r="AC38" s="300">
        <f t="shared" si="23"/>
        <v>4130259.8258399996</v>
      </c>
      <c r="AD38" s="300">
        <f t="shared" si="23"/>
        <v>4130259.8258399996</v>
      </c>
      <c r="AE38" s="126">
        <f t="shared" si="22"/>
        <v>422734121.54877394</v>
      </c>
    </row>
    <row r="39" spans="2:31" ht="27.75" customHeight="1">
      <c r="B39" s="330"/>
      <c r="C39" s="331" t="s">
        <v>78</v>
      </c>
      <c r="D39" s="331"/>
      <c r="E39" s="294"/>
      <c r="F39" s="298">
        <f>IF(F30&gt;=26,0,初期条件!F73+初期条件!F74)</f>
        <v>174000</v>
      </c>
      <c r="G39" s="298">
        <f>F39</f>
        <v>174000</v>
      </c>
      <c r="H39" s="298">
        <f t="shared" ref="H39:AD39" si="24">G39</f>
        <v>174000</v>
      </c>
      <c r="I39" s="298">
        <f t="shared" si="24"/>
        <v>174000</v>
      </c>
      <c r="J39" s="298">
        <f t="shared" si="24"/>
        <v>174000</v>
      </c>
      <c r="K39" s="298">
        <f t="shared" si="24"/>
        <v>174000</v>
      </c>
      <c r="L39" s="298">
        <f t="shared" si="24"/>
        <v>174000</v>
      </c>
      <c r="M39" s="298">
        <f t="shared" si="24"/>
        <v>174000</v>
      </c>
      <c r="N39" s="298">
        <f t="shared" si="24"/>
        <v>174000</v>
      </c>
      <c r="O39" s="298">
        <f t="shared" si="24"/>
        <v>174000</v>
      </c>
      <c r="P39" s="298">
        <f t="shared" si="24"/>
        <v>174000</v>
      </c>
      <c r="Q39" s="298">
        <f t="shared" si="24"/>
        <v>174000</v>
      </c>
      <c r="R39" s="298">
        <f t="shared" si="24"/>
        <v>174000</v>
      </c>
      <c r="S39" s="298">
        <f t="shared" si="24"/>
        <v>174000</v>
      </c>
      <c r="T39" s="298">
        <f t="shared" si="24"/>
        <v>174000</v>
      </c>
      <c r="U39" s="298">
        <f t="shared" si="24"/>
        <v>174000</v>
      </c>
      <c r="V39" s="298">
        <f t="shared" si="24"/>
        <v>174000</v>
      </c>
      <c r="W39" s="298">
        <f t="shared" si="24"/>
        <v>174000</v>
      </c>
      <c r="X39" s="298">
        <f t="shared" si="24"/>
        <v>174000</v>
      </c>
      <c r="Y39" s="298">
        <f t="shared" si="24"/>
        <v>174000</v>
      </c>
      <c r="Z39" s="125">
        <f t="shared" si="24"/>
        <v>174000</v>
      </c>
      <c r="AA39" s="125">
        <f t="shared" si="24"/>
        <v>174000</v>
      </c>
      <c r="AB39" s="125">
        <f t="shared" si="24"/>
        <v>174000</v>
      </c>
      <c r="AC39" s="125">
        <f t="shared" si="24"/>
        <v>174000</v>
      </c>
      <c r="AD39" s="125">
        <f t="shared" si="24"/>
        <v>174000</v>
      </c>
      <c r="AE39" s="125">
        <f t="shared" si="22"/>
        <v>4350000</v>
      </c>
    </row>
    <row r="40" spans="2:31" ht="27.75" customHeight="1">
      <c r="B40" s="330"/>
      <c r="C40" s="331" t="s">
        <v>79</v>
      </c>
      <c r="D40" s="376"/>
      <c r="E40" s="459"/>
      <c r="F40" s="298">
        <f>IF(初期条件!$D$18=1,借入返済表!$J$29,借入返済表!$T$25)</f>
        <v>28466467.775000002</v>
      </c>
      <c r="G40" s="298">
        <f>IF(初期条件!$D$18=1,借入返済表!$J$41,借入返済表!$T$37)</f>
        <v>28466467.775000002</v>
      </c>
      <c r="H40" s="298">
        <f>IF(初期条件!$D$18=1,借入返済表!$J$53,借入返済表!$T$49)</f>
        <v>28466467.775000002</v>
      </c>
      <c r="I40" s="298">
        <f>IF(初期条件!$D$18=1,借入返済表!$J$65,借入返済表!$T$61)</f>
        <v>28466467.775000002</v>
      </c>
      <c r="J40" s="298">
        <f>IF(初期条件!$D$18=1,借入返済表!$J$77,借入返済表!$T$73)</f>
        <v>28466467.775000002</v>
      </c>
      <c r="K40" s="298">
        <f>IF(初期条件!$D$18=1,借入返済表!$J$89,借入返済表!$T$85)</f>
        <v>28466467.775000002</v>
      </c>
      <c r="L40" s="298">
        <f>IF(初期条件!$D$18=1,借入返済表!$J$101,借入返済表!$T$97)</f>
        <v>28466467.775000002</v>
      </c>
      <c r="M40" s="298">
        <f>IF(初期条件!$D$18=1,借入返済表!$J$113,借入返済表!$T$109)</f>
        <v>28466467.775000002</v>
      </c>
      <c r="N40" s="298">
        <f>IF(初期条件!$D$18=1,借入返済表!$J$125,借入返済表!$T$121)</f>
        <v>0</v>
      </c>
      <c r="O40" s="298">
        <f>IF(初期条件!$D$18=1,借入返済表!$J$137,借入返済表!$T$133)</f>
        <v>0</v>
      </c>
      <c r="P40" s="298">
        <f>IF(初期条件!$D$18=1,借入返済表!$J$149,借入返済表!$T$145)</f>
        <v>0</v>
      </c>
      <c r="Q40" s="298">
        <f>IF(初期条件!$D$18=1,借入返済表!$J$161,借入返済表!$T$157)</f>
        <v>0</v>
      </c>
      <c r="R40" s="298">
        <f>IF(初期条件!$D$18=1,借入返済表!$J$173,借入返済表!$T$169)</f>
        <v>0</v>
      </c>
      <c r="S40" s="298">
        <f>IF(初期条件!$D$18=1,借入返済表!$J$185,借入返済表!$T$181)</f>
        <v>0</v>
      </c>
      <c r="T40" s="298">
        <f>IF(初期条件!$D$18=1,借入返済表!$J$197,借入返済表!$T$193)</f>
        <v>0</v>
      </c>
      <c r="U40" s="298">
        <f>IF(初期条件!$D$18=1,借入返済表!$J$209,借入返済表!$T$205)</f>
        <v>0</v>
      </c>
      <c r="V40" s="298">
        <f>IF(初期条件!$D$18=1,借入返済表!$J$221,借入返済表!$T$217)</f>
        <v>0</v>
      </c>
      <c r="W40" s="298">
        <f>IF(初期条件!$D$18=1,借入返済表!$J$233,借入返済表!$T$229)</f>
        <v>0</v>
      </c>
      <c r="X40" s="298">
        <f>IF(初期条件!$D$18=1,借入返済表!$J$245,借入返済表!$T$241)</f>
        <v>0</v>
      </c>
      <c r="Y40" s="298">
        <f>IF(初期条件!$D$18=1,借入返済表!$J$257,借入返済表!$T$253)</f>
        <v>0</v>
      </c>
      <c r="Z40" s="125">
        <f>IF(初期条件!$D$18=1,借入返済表!$J$269,借入返済表!$T$265)</f>
        <v>0</v>
      </c>
      <c r="AA40" s="125">
        <f>IF(初期条件!$D$18=1,借入返済表!$J$281,借入返済表!$T$277)</f>
        <v>0</v>
      </c>
      <c r="AB40" s="125">
        <f>IF(初期条件!$D$18=1,借入返済表!$J$293,借入返済表!$T$289)</f>
        <v>0</v>
      </c>
      <c r="AC40" s="125">
        <f>IF(初期条件!$D$18=1,借入返済表!$J$305,借入返済表!$T$301)</f>
        <v>0</v>
      </c>
      <c r="AD40" s="125">
        <f>IF(初期条件!$D$18=1,借入返済表!$J$317,借入返済表!$T$313)</f>
        <v>0</v>
      </c>
      <c r="AE40" s="125">
        <f t="shared" si="22"/>
        <v>227731742.20000002</v>
      </c>
    </row>
    <row r="41" spans="2:31" ht="27.75" customHeight="1">
      <c r="B41" s="330"/>
      <c r="C41" s="331" t="s">
        <v>80</v>
      </c>
      <c r="D41" s="376"/>
      <c r="E41" s="294"/>
      <c r="F41" s="298">
        <f>IF(初期条件!$D$18=1,借入返済表!$I$29,借入返済表!$S$25)</f>
        <v>5796484.500684374</v>
      </c>
      <c r="G41" s="298">
        <f>IF(初期条件!$D$18=1,借入返済表!$I$41,借入返済表!$S$37)</f>
        <v>5027889.8707593707</v>
      </c>
      <c r="H41" s="298">
        <f>IF(初期条件!$D$18=1,借入返済表!$I$53,借入返済表!$S$49)</f>
        <v>4259295.2408343684</v>
      </c>
      <c r="I41" s="298">
        <f>IF(初期条件!$D$18=1,借入返済表!$I$65,借入返済表!$S$61)</f>
        <v>3490700.6109093665</v>
      </c>
      <c r="J41" s="298">
        <f>IF(初期条件!$D$18=1,借入返済表!$I$77,借入返済表!$S$73)</f>
        <v>2722105.9809843693</v>
      </c>
      <c r="K41" s="298">
        <f>IF(初期条件!$D$18=1,借入返済表!$I$89,借入返済表!$S$85)</f>
        <v>1953511.3510593711</v>
      </c>
      <c r="L41" s="298">
        <f>IF(初期条件!$D$18=1,借入返済表!$I$101,借入返済表!$S$97)</f>
        <v>1184916.7211343714</v>
      </c>
      <c r="M41" s="298">
        <f>IF(初期条件!$D$18=1,借入返済表!$I$113,借入返済表!$S$109)</f>
        <v>416322.09120937128</v>
      </c>
      <c r="N41" s="298">
        <f>IF(初期条件!$D$18=1,借入返済表!$I$125,借入返済表!$S$121)</f>
        <v>-3.7970021367073059E-9</v>
      </c>
      <c r="O41" s="298">
        <f>IF(初期条件!$D$18=1,借入返済表!$I$137,借入返済表!$S$133)</f>
        <v>-3.7970021367073059E-9</v>
      </c>
      <c r="P41" s="298">
        <f>IF(初期条件!$D$18=1,借入返済表!$I$149,借入返済表!$S$145)</f>
        <v>-3.7970021367073059E-9</v>
      </c>
      <c r="Q41" s="298">
        <f>IF(初期条件!$D$18=1,借入返済表!$I$161,借入返済表!$S$157)</f>
        <v>-3.7970021367073059E-9</v>
      </c>
      <c r="R41" s="298">
        <f>IF(初期条件!$D$18=1,借入返済表!$I$173,借入返済表!$S$169)</f>
        <v>-3.7970021367073059E-9</v>
      </c>
      <c r="S41" s="298">
        <f>IF(初期条件!$D$18=1,借入返済表!$I$185,借入返済表!$S$181)</f>
        <v>-3.7970021367073059E-9</v>
      </c>
      <c r="T41" s="298">
        <f>IF(初期条件!$D$18=1,借入返済表!$I$197,借入返済表!$S$193)</f>
        <v>-3.7970021367073059E-9</v>
      </c>
      <c r="U41" s="298">
        <f>IF(初期条件!$D$18=1,借入返済表!$I$209,借入返済表!$S$205)</f>
        <v>0</v>
      </c>
      <c r="V41" s="298">
        <f>IF(初期条件!$D$18=1,借入返済表!$I$221,借入返済表!$S$217)</f>
        <v>0</v>
      </c>
      <c r="W41" s="298">
        <f>IF(初期条件!$D$18=1,借入返済表!$I$233,借入返済表!$S$229)</f>
        <v>0</v>
      </c>
      <c r="X41" s="298">
        <f>IF(初期条件!$D$18=1,借入返済表!$I$245,借入返済表!$S$241)</f>
        <v>0</v>
      </c>
      <c r="Y41" s="298">
        <f>IF(初期条件!$D$18=1,借入返済表!$I$257,借入返済表!$S$253)</f>
        <v>0</v>
      </c>
      <c r="Z41" s="125">
        <f>IF(初期条件!$D$18=1,借入返済表!$I$269,借入返済表!$S$265)</f>
        <v>0</v>
      </c>
      <c r="AA41" s="125">
        <f>IF(初期条件!$D$18=1,借入返済表!$I$281,借入返済表!$S$277)</f>
        <v>0</v>
      </c>
      <c r="AB41" s="125">
        <f>IF(初期条件!$D$18=1,借入返済表!$I$293,借入返済表!$S$289)</f>
        <v>0</v>
      </c>
      <c r="AC41" s="125">
        <f>IF(初期条件!$D$18=1,借入返済表!$I$305,借入返済表!$S$301)</f>
        <v>0</v>
      </c>
      <c r="AD41" s="125">
        <f>IF(初期条件!$D$18=1,借入返済表!$I$317,借入返済表!$S$313)</f>
        <v>0</v>
      </c>
      <c r="AE41" s="125">
        <f t="shared" si="22"/>
        <v>24851226.367574938</v>
      </c>
    </row>
    <row r="42" spans="2:31" ht="27.75" customHeight="1">
      <c r="B42" s="330"/>
      <c r="C42" s="331" t="s">
        <v>140</v>
      </c>
      <c r="D42" s="331"/>
      <c r="E42" s="294"/>
      <c r="F42" s="298">
        <f>(初期条件!$F27+初期条件!$F28+初期条件!$F29+初期条件!$F30+初期条件!$F31+初期条件!$F35)*初期条件!$G$79</f>
        <v>1483883.8</v>
      </c>
      <c r="G42" s="298">
        <f>(初期条件!$F27+初期条件!$F28+初期条件!$F29+初期条件!$F30+初期条件!$F31+初期条件!$F35)*初期条件!$G$79</f>
        <v>1483883.8</v>
      </c>
      <c r="H42" s="298">
        <f>(初期条件!$F27+初期条件!$F28+初期条件!$F29+初期条件!$F30+初期条件!$F31+初期条件!$F35)*初期条件!$G$79</f>
        <v>1483883.8</v>
      </c>
      <c r="I42" s="298">
        <f>(初期条件!$F27+初期条件!$F28+初期条件!$F29+初期条件!$F30+初期条件!$F31+初期条件!$F35)*初期条件!$G$79</f>
        <v>1483883.8</v>
      </c>
      <c r="J42" s="298">
        <f>(初期条件!$F27+初期条件!$F28+初期条件!$F29+初期条件!$F30+初期条件!$F31+初期条件!$F35)*初期条件!$G$79</f>
        <v>1483883.8</v>
      </c>
      <c r="K42" s="298">
        <f>(初期条件!$F27+初期条件!$F28+初期条件!$F29+初期条件!$F30+初期条件!$F31+初期条件!$F35)*初期条件!$G$79</f>
        <v>1483883.8</v>
      </c>
      <c r="L42" s="298">
        <f>(初期条件!$F27+初期条件!$F28+初期条件!$F29+初期条件!$F30+初期条件!$F31+初期条件!$F35)*初期条件!$G$79</f>
        <v>1483883.8</v>
      </c>
      <c r="M42" s="298">
        <f>(初期条件!$F27+初期条件!$F28+初期条件!$F29+初期条件!$F30+初期条件!$F31+初期条件!$F35)*初期条件!$G$79</f>
        <v>1483883.8</v>
      </c>
      <c r="N42" s="298">
        <f>(初期条件!$F27+初期条件!$F28+初期条件!$F29+初期条件!$F30+初期条件!$F31+初期条件!$F35)*初期条件!$G$79</f>
        <v>1483883.8</v>
      </c>
      <c r="O42" s="298">
        <f>(初期条件!$F27+初期条件!$F28+初期条件!$F29+初期条件!$F30+初期条件!$F31+初期条件!$F35)*初期条件!$G$79</f>
        <v>1483883.8</v>
      </c>
      <c r="P42" s="298">
        <f>(初期条件!$F27+初期条件!$F28+初期条件!$F29+初期条件!$F30+初期条件!$F31+初期条件!$F35)*初期条件!$G$79</f>
        <v>1483883.8</v>
      </c>
      <c r="Q42" s="298">
        <f>(初期条件!$F27+初期条件!$F28+初期条件!$F29+初期条件!$F30+初期条件!$F31+初期条件!$F35)*初期条件!$G$79</f>
        <v>1483883.8</v>
      </c>
      <c r="R42" s="298">
        <f>(初期条件!$F27+初期条件!$F28+初期条件!$F29+初期条件!$F30+初期条件!$F31+初期条件!$F35)*初期条件!$G$79</f>
        <v>1483883.8</v>
      </c>
      <c r="S42" s="298">
        <f>(初期条件!$F27+初期条件!$F28+初期条件!$F29+初期条件!$F30+初期条件!$F31+初期条件!$F35)*初期条件!$G$79</f>
        <v>1483883.8</v>
      </c>
      <c r="T42" s="298">
        <f>(初期条件!$F27+初期条件!$F28+初期条件!$F29+初期条件!$F30+初期条件!$F31+初期条件!$F35)*初期条件!$G$79</f>
        <v>1483883.8</v>
      </c>
      <c r="U42" s="298">
        <f>(初期条件!$F27+初期条件!$F28+初期条件!$F29+初期条件!$F30+初期条件!$F31+初期条件!$F35)*初期条件!$G$79</f>
        <v>1483883.8</v>
      </c>
      <c r="V42" s="298">
        <f>(初期条件!$F27+初期条件!$F28+初期条件!$F29+初期条件!$F30+初期条件!$F31+初期条件!$F35)*初期条件!$G$79</f>
        <v>1483883.8</v>
      </c>
      <c r="W42" s="298">
        <f>(初期条件!$F27+初期条件!$F28+初期条件!$F29+初期条件!$F30+初期条件!$F31+初期条件!$F35)*初期条件!$G$79</f>
        <v>1483883.8</v>
      </c>
      <c r="X42" s="298">
        <f>(初期条件!$F27+初期条件!$F28+初期条件!$F29+初期条件!$F30+初期条件!$F31+初期条件!$F35)*初期条件!$G$79</f>
        <v>1483883.8</v>
      </c>
      <c r="Y42" s="298"/>
      <c r="Z42" s="125">
        <f>IF(Z30&gt;=21,0,(初期条件!$F$23+初期条件!$F$24)*初期条件!$D$79)</f>
        <v>0</v>
      </c>
      <c r="AA42" s="125">
        <f>IF(AA30&gt;=21,0,(初期条件!$F$23+初期条件!$F$24)*初期条件!$D$79)</f>
        <v>0</v>
      </c>
      <c r="AB42" s="125">
        <f>IF(AB30&gt;=21,0,(初期条件!$F$23+初期条件!$F$24)*初期条件!$D$79)</f>
        <v>0</v>
      </c>
      <c r="AC42" s="125">
        <f>IF(AC30&gt;=21,0,(初期条件!$F$23+初期条件!$F$24)*初期条件!$D$79)</f>
        <v>0</v>
      </c>
      <c r="AD42" s="125">
        <f>IF(AD30&gt;=21,0,(初期条件!$F$23+初期条件!$F$24)*初期条件!$D$79)</f>
        <v>0</v>
      </c>
      <c r="AE42" s="125">
        <f t="shared" si="22"/>
        <v>28193792.20000001</v>
      </c>
    </row>
    <row r="43" spans="2:31" ht="27.75" customHeight="1">
      <c r="B43" s="330"/>
      <c r="C43" s="371" t="s">
        <v>385</v>
      </c>
      <c r="D43" s="371"/>
      <c r="E43" s="372"/>
      <c r="F43" s="373">
        <f>IF(F30&gt;初期条件!$D$19,0,初期条件!$F$76)</f>
        <v>0</v>
      </c>
      <c r="G43" s="373">
        <f>IF(G30&gt;初期条件!$D$19,0,初期条件!$F$76)</f>
        <v>0</v>
      </c>
      <c r="H43" s="373">
        <f>IF(H30&gt;初期条件!$D$19,0,初期条件!$F$76)</f>
        <v>0</v>
      </c>
      <c r="I43" s="373">
        <f>IF(I30&gt;初期条件!$D$19,0,初期条件!$F$76)</f>
        <v>0</v>
      </c>
      <c r="J43" s="373">
        <f>IF(J30&gt;初期条件!$D$19,0,初期条件!$F$76)</f>
        <v>0</v>
      </c>
      <c r="K43" s="373">
        <f>IF(K30&gt;初期条件!$D$19,0,初期条件!$F$76)</f>
        <v>0</v>
      </c>
      <c r="L43" s="373">
        <f>IF(L30&gt;初期条件!$D$19,0,初期条件!$F$76)</f>
        <v>0</v>
      </c>
      <c r="M43" s="373">
        <f>IF(M30&gt;初期条件!$D$19,0,初期条件!$F$76)</f>
        <v>0</v>
      </c>
      <c r="N43" s="373">
        <f>IF(N30&gt;初期条件!$D$19,0,初期条件!$F$76)</f>
        <v>0</v>
      </c>
      <c r="O43" s="373">
        <f>IF(O30&gt;初期条件!$D$19,0,初期条件!$F$76)</f>
        <v>0</v>
      </c>
      <c r="P43" s="373">
        <f>IF(P30&gt;初期条件!$D$19,0,初期条件!$F$76)</f>
        <v>0</v>
      </c>
      <c r="Q43" s="373">
        <f>IF(Q30&gt;初期条件!$D$19,0,初期条件!$F$76)</f>
        <v>0</v>
      </c>
      <c r="R43" s="373">
        <f>IF(R30&gt;初期条件!$D$19,0,初期条件!$F$76)</f>
        <v>0</v>
      </c>
      <c r="S43" s="373">
        <f>IF(S30&gt;初期条件!$D$19,0,初期条件!$F$76)</f>
        <v>0</v>
      </c>
      <c r="T43" s="373">
        <f>IF(T30&gt;初期条件!$D$19,0,初期条件!$F$76)</f>
        <v>0</v>
      </c>
      <c r="U43" s="373">
        <f>IF(U30&gt;初期条件!$D$19,0,初期条件!$F$76)</f>
        <v>0</v>
      </c>
      <c r="V43" s="373">
        <f>IF(V30&gt;初期条件!$D$19,0,初期条件!$F$76)</f>
        <v>0</v>
      </c>
      <c r="W43" s="373">
        <f>IF(W30&gt;初期条件!$D$19,0,初期条件!$F$76)</f>
        <v>0</v>
      </c>
      <c r="X43" s="373">
        <f>IF(X30&gt;初期条件!$D$19,0,初期条件!$F$76)</f>
        <v>0</v>
      </c>
      <c r="Y43" s="373">
        <f>IF(Y30&gt;初期条件!$D$19,0,初期条件!$F$76)</f>
        <v>0</v>
      </c>
      <c r="Z43" s="373">
        <f>IF(Z30&gt;初期条件!$D$19,0,初期条件!$F$76)</f>
        <v>0</v>
      </c>
      <c r="AA43" s="373">
        <f>IF(AA30&gt;初期条件!$D$19,0,初期条件!$F$76)</f>
        <v>0</v>
      </c>
      <c r="AB43" s="373">
        <f>IF(AB30&gt;初期条件!$D$19,0,初期条件!$F$76)</f>
        <v>0</v>
      </c>
      <c r="AC43" s="373">
        <f>IF(AC30&gt;初期条件!$D$19,0,初期条件!$F$76)</f>
        <v>0</v>
      </c>
      <c r="AD43" s="373">
        <f>IF(AD30&gt;初期条件!$D$19,0,初期条件!$F$76)</f>
        <v>0</v>
      </c>
      <c r="AE43" s="125">
        <f t="shared" si="22"/>
        <v>0</v>
      </c>
    </row>
    <row r="44" spans="2:31" ht="27.75" customHeight="1">
      <c r="B44" s="330"/>
      <c r="C44" s="331" t="s">
        <v>227</v>
      </c>
      <c r="D44" s="331"/>
      <c r="E44" s="294"/>
      <c r="F44" s="298">
        <f>IF(F30&gt;=26,0,償却資産税の計算!J$21)</f>
        <v>4263138.1997568002</v>
      </c>
      <c r="G44" s="298">
        <f>IF(G30&gt;=26,0,償却資産税の計算!K$21)</f>
        <v>3721719.6483876863</v>
      </c>
      <c r="H44" s="298">
        <f>IF(H30&gt;=26,0,償却資産税の計算!L$21)</f>
        <v>3249061.2530424502</v>
      </c>
      <c r="I44" s="298">
        <f>IF(I30&gt;=26,0,償却資産税の計算!M$21)</f>
        <v>2836430.4739060593</v>
      </c>
      <c r="J44" s="298">
        <f>IF(J30&gt;=26,0,償却資産税の計算!N$21)</f>
        <v>2476203.8037199895</v>
      </c>
      <c r="K44" s="298">
        <f>IF(K30&gt;=26,0,償却資産税の計算!O$21)</f>
        <v>2161725.9206475508</v>
      </c>
      <c r="L44" s="298">
        <f>IF(L30&gt;=26,0,償却資産税の計算!P$21)</f>
        <v>1887186.728725312</v>
      </c>
      <c r="M44" s="298">
        <f>IF(M30&gt;=26,0,償却資産税の計算!Q$21)</f>
        <v>1647514.0141771976</v>
      </c>
      <c r="N44" s="298">
        <f>IF(N30&gt;=26,0,償却資産税の計算!R$21)</f>
        <v>1438279.7343766934</v>
      </c>
      <c r="O44" s="298">
        <f>IF(O30&gt;=26,0,償却資産税の計算!S$21)</f>
        <v>1255618.2081108533</v>
      </c>
      <c r="P44" s="298">
        <f>IF(P30&gt;=26,0,償却資産税の計算!T$21)</f>
        <v>1096154.695680775</v>
      </c>
      <c r="Q44" s="298">
        <f>IF(Q30&gt;=26,0,償却資産税の計算!U$21)</f>
        <v>956943.04932931648</v>
      </c>
      <c r="R44" s="298">
        <f>IF(R30&gt;=26,0,償却資産税の計算!V$21)</f>
        <v>835411.28206449328</v>
      </c>
      <c r="S44" s="298">
        <f>IF(S30&gt;=26,0,償却資産税の計算!W$21)</f>
        <v>729314.04924230266</v>
      </c>
      <c r="T44" s="298">
        <f>IF(T30&gt;=26,0,償却資産税の計算!X$21)</f>
        <v>636691.16498853022</v>
      </c>
      <c r="U44" s="298">
        <f>IF(U30&gt;=26,0,償却資産税の計算!Y$21)</f>
        <v>555831.38703498687</v>
      </c>
      <c r="V44" s="298">
        <f>IF(V30&gt;=26,0,償却資産税の計算!Z$21)</f>
        <v>485240.80088154355</v>
      </c>
      <c r="W44" s="298">
        <f>IF(W30&gt;=26,0,償却資産税の計算!AA$21)</f>
        <v>423615.21916958754</v>
      </c>
      <c r="X44" s="298">
        <f>IF(X30&gt;=26,0,償却資産税の計算!AB$21)</f>
        <v>369816.08633504988</v>
      </c>
      <c r="Y44" s="298">
        <f>IF(Y30&gt;=26,0,償却資産税の計算!AC$21)</f>
        <v>322849.44337049854</v>
      </c>
      <c r="Z44" s="125">
        <f>IF(Z30&gt;=26,0,償却資産税の計算!AD$21)</f>
        <v>281847.56406244525</v>
      </c>
      <c r="AA44" s="125">
        <f>IF(AA30&gt;=26,0,償却資産税の計算!AE$21)</f>
        <v>246052.92342651467</v>
      </c>
      <c r="AB44" s="125">
        <f>IF(AB30&gt;=26,0,償却資産税の計算!AF$21)</f>
        <v>227731.74144000001</v>
      </c>
      <c r="AC44" s="125">
        <f>IF(AC30&gt;=26,0,償却資産税の計算!AG$21)</f>
        <v>227731.74144000001</v>
      </c>
      <c r="AD44" s="125">
        <f>IF(AD30&gt;=26,0,償却資産税の計算!AH$21)</f>
        <v>227731.74144000001</v>
      </c>
      <c r="AE44" s="125">
        <f t="shared" si="22"/>
        <v>32559840.874756634</v>
      </c>
    </row>
    <row r="45" spans="2:31" ht="27.75" customHeight="1">
      <c r="B45" s="330"/>
      <c r="C45" s="371" t="s">
        <v>228</v>
      </c>
      <c r="D45" s="371"/>
      <c r="E45" s="372"/>
      <c r="F45" s="373">
        <f>初期条件!G97</f>
        <v>472463.40960000001</v>
      </c>
      <c r="G45" s="373">
        <f>F45</f>
        <v>472463.40960000001</v>
      </c>
      <c r="H45" s="373">
        <f t="shared" ref="H45:AD46" si="25">G45</f>
        <v>472463.40960000001</v>
      </c>
      <c r="I45" s="373">
        <f t="shared" si="25"/>
        <v>472463.40960000001</v>
      </c>
      <c r="J45" s="373">
        <f t="shared" si="25"/>
        <v>472463.40960000001</v>
      </c>
      <c r="K45" s="373">
        <f t="shared" si="25"/>
        <v>472463.40960000001</v>
      </c>
      <c r="L45" s="373">
        <f t="shared" si="25"/>
        <v>472463.40960000001</v>
      </c>
      <c r="M45" s="373">
        <f t="shared" si="25"/>
        <v>472463.40960000001</v>
      </c>
      <c r="N45" s="373">
        <f t="shared" si="25"/>
        <v>472463.40960000001</v>
      </c>
      <c r="O45" s="373">
        <f t="shared" si="25"/>
        <v>472463.40960000001</v>
      </c>
      <c r="P45" s="373">
        <f t="shared" si="25"/>
        <v>472463.40960000001</v>
      </c>
      <c r="Q45" s="373">
        <f t="shared" si="25"/>
        <v>472463.40960000001</v>
      </c>
      <c r="R45" s="373">
        <f t="shared" si="25"/>
        <v>472463.40960000001</v>
      </c>
      <c r="S45" s="373">
        <f t="shared" si="25"/>
        <v>472463.40960000001</v>
      </c>
      <c r="T45" s="373">
        <f t="shared" si="25"/>
        <v>472463.40960000001</v>
      </c>
      <c r="U45" s="373">
        <f t="shared" si="25"/>
        <v>472463.40960000001</v>
      </c>
      <c r="V45" s="373">
        <f t="shared" si="25"/>
        <v>472463.40960000001</v>
      </c>
      <c r="W45" s="373">
        <f t="shared" si="25"/>
        <v>472463.40960000001</v>
      </c>
      <c r="X45" s="373">
        <f t="shared" si="25"/>
        <v>472463.40960000001</v>
      </c>
      <c r="Y45" s="373">
        <f t="shared" si="25"/>
        <v>472463.40960000001</v>
      </c>
      <c r="Z45" s="373">
        <f t="shared" si="25"/>
        <v>472463.40960000001</v>
      </c>
      <c r="AA45" s="373">
        <f t="shared" si="25"/>
        <v>472463.40960000001</v>
      </c>
      <c r="AB45" s="373">
        <f t="shared" si="25"/>
        <v>472463.40960000001</v>
      </c>
      <c r="AC45" s="373">
        <f t="shared" si="25"/>
        <v>472463.40960000001</v>
      </c>
      <c r="AD45" s="373">
        <f t="shared" si="25"/>
        <v>472463.40960000001</v>
      </c>
      <c r="AE45" s="374"/>
    </row>
    <row r="46" spans="2:31" ht="27.75" customHeight="1">
      <c r="B46" s="330"/>
      <c r="C46" s="331" t="s">
        <v>243</v>
      </c>
      <c r="D46" s="331"/>
      <c r="E46" s="294"/>
      <c r="F46" s="298">
        <f>初期条件!F80</f>
        <v>2656064.6747999997</v>
      </c>
      <c r="G46" s="298">
        <f>F46</f>
        <v>2656064.6747999997</v>
      </c>
      <c r="H46" s="298">
        <f t="shared" si="25"/>
        <v>2656064.6747999997</v>
      </c>
      <c r="I46" s="298">
        <f t="shared" si="25"/>
        <v>2656064.6747999997</v>
      </c>
      <c r="J46" s="298">
        <f t="shared" si="25"/>
        <v>2656064.6747999997</v>
      </c>
      <c r="K46" s="298">
        <f t="shared" si="25"/>
        <v>2656064.6747999997</v>
      </c>
      <c r="L46" s="298">
        <f t="shared" si="25"/>
        <v>2656064.6747999997</v>
      </c>
      <c r="M46" s="298">
        <f t="shared" si="25"/>
        <v>2656064.6747999997</v>
      </c>
      <c r="N46" s="298">
        <f t="shared" si="25"/>
        <v>2656064.6747999997</v>
      </c>
      <c r="O46" s="298">
        <f t="shared" si="25"/>
        <v>2656064.6747999997</v>
      </c>
      <c r="P46" s="298">
        <f t="shared" si="25"/>
        <v>2656064.6747999997</v>
      </c>
      <c r="Q46" s="298">
        <f t="shared" si="25"/>
        <v>2656064.6747999997</v>
      </c>
      <c r="R46" s="298">
        <f t="shared" si="25"/>
        <v>2656064.6747999997</v>
      </c>
      <c r="S46" s="298">
        <f t="shared" si="25"/>
        <v>2656064.6747999997</v>
      </c>
      <c r="T46" s="298">
        <f t="shared" si="25"/>
        <v>2656064.6747999997</v>
      </c>
      <c r="U46" s="298">
        <f t="shared" si="25"/>
        <v>2656064.6747999997</v>
      </c>
      <c r="V46" s="298">
        <f t="shared" si="25"/>
        <v>2656064.6747999997</v>
      </c>
      <c r="W46" s="298">
        <f t="shared" si="25"/>
        <v>2656064.6747999997</v>
      </c>
      <c r="X46" s="298">
        <f t="shared" si="25"/>
        <v>2656064.6747999997</v>
      </c>
      <c r="Y46" s="298">
        <f t="shared" si="25"/>
        <v>2656064.6747999997</v>
      </c>
      <c r="Z46" s="298">
        <f t="shared" si="25"/>
        <v>2656064.6747999997</v>
      </c>
      <c r="AA46" s="298">
        <f t="shared" si="25"/>
        <v>2656064.6747999997</v>
      </c>
      <c r="AB46" s="298">
        <f t="shared" si="25"/>
        <v>2656064.6747999997</v>
      </c>
      <c r="AC46" s="298">
        <f t="shared" si="25"/>
        <v>2656064.6747999997</v>
      </c>
      <c r="AD46" s="298">
        <f t="shared" si="25"/>
        <v>2656064.6747999997</v>
      </c>
      <c r="AE46" s="125">
        <f t="shared" si="22"/>
        <v>66401616.870000012</v>
      </c>
    </row>
    <row r="47" spans="2:31" ht="27.75" customHeight="1">
      <c r="B47" s="330"/>
      <c r="C47" s="331" t="s">
        <v>114</v>
      </c>
      <c r="D47" s="331"/>
      <c r="E47" s="294"/>
      <c r="F47" s="298">
        <f>初期条件!$F$77</f>
        <v>600000</v>
      </c>
      <c r="G47" s="298">
        <f>F47</f>
        <v>600000</v>
      </c>
      <c r="H47" s="298">
        <f t="shared" ref="H47:AD47" si="26">G47</f>
        <v>600000</v>
      </c>
      <c r="I47" s="298">
        <f t="shared" si="26"/>
        <v>600000</v>
      </c>
      <c r="J47" s="298">
        <f t="shared" si="26"/>
        <v>600000</v>
      </c>
      <c r="K47" s="298">
        <f t="shared" si="26"/>
        <v>600000</v>
      </c>
      <c r="L47" s="298">
        <f t="shared" si="26"/>
        <v>600000</v>
      </c>
      <c r="M47" s="298">
        <f t="shared" si="26"/>
        <v>600000</v>
      </c>
      <c r="N47" s="298">
        <f t="shared" si="26"/>
        <v>600000</v>
      </c>
      <c r="O47" s="298">
        <f t="shared" si="26"/>
        <v>600000</v>
      </c>
      <c r="P47" s="298">
        <f t="shared" si="26"/>
        <v>600000</v>
      </c>
      <c r="Q47" s="298">
        <f t="shared" si="26"/>
        <v>600000</v>
      </c>
      <c r="R47" s="298">
        <f t="shared" si="26"/>
        <v>600000</v>
      </c>
      <c r="S47" s="298">
        <f t="shared" si="26"/>
        <v>600000</v>
      </c>
      <c r="T47" s="298">
        <f t="shared" si="26"/>
        <v>600000</v>
      </c>
      <c r="U47" s="298">
        <f t="shared" si="26"/>
        <v>600000</v>
      </c>
      <c r="V47" s="298">
        <f t="shared" si="26"/>
        <v>600000</v>
      </c>
      <c r="W47" s="298">
        <f t="shared" si="26"/>
        <v>600000</v>
      </c>
      <c r="X47" s="298">
        <f t="shared" si="26"/>
        <v>600000</v>
      </c>
      <c r="Y47" s="298">
        <f t="shared" si="26"/>
        <v>600000</v>
      </c>
      <c r="Z47" s="125">
        <f t="shared" si="26"/>
        <v>600000</v>
      </c>
      <c r="AA47" s="125">
        <f t="shared" si="26"/>
        <v>600000</v>
      </c>
      <c r="AB47" s="125">
        <f t="shared" si="26"/>
        <v>600000</v>
      </c>
      <c r="AC47" s="125">
        <f t="shared" si="26"/>
        <v>600000</v>
      </c>
      <c r="AD47" s="125">
        <f t="shared" si="26"/>
        <v>600000</v>
      </c>
      <c r="AE47" s="125">
        <f t="shared" si="22"/>
        <v>15000000</v>
      </c>
    </row>
    <row r="48" spans="2:31" ht="27.75" customHeight="1">
      <c r="B48" s="330"/>
      <c r="C48" s="331" t="s">
        <v>29</v>
      </c>
      <c r="D48" s="331" t="s">
        <v>121</v>
      </c>
      <c r="E48" s="294"/>
      <c r="F48" s="298">
        <f>初期条件!$F71</f>
        <v>480000</v>
      </c>
      <c r="G48" s="298">
        <f>初期条件!$F71</f>
        <v>480000</v>
      </c>
      <c r="H48" s="298">
        <f>初期条件!$F71</f>
        <v>480000</v>
      </c>
      <c r="I48" s="298">
        <f>初期条件!$F71</f>
        <v>480000</v>
      </c>
      <c r="J48" s="298">
        <f>初期条件!$F71</f>
        <v>480000</v>
      </c>
      <c r="K48" s="298">
        <f>初期条件!$F71</f>
        <v>480000</v>
      </c>
      <c r="L48" s="298">
        <f>初期条件!$F71</f>
        <v>480000</v>
      </c>
      <c r="M48" s="298">
        <f>初期条件!$F71</f>
        <v>480000</v>
      </c>
      <c r="N48" s="298">
        <f>初期条件!$F71</f>
        <v>480000</v>
      </c>
      <c r="O48" s="298">
        <f>初期条件!$F71</f>
        <v>480000</v>
      </c>
      <c r="P48" s="298">
        <f>初期条件!$F71</f>
        <v>480000</v>
      </c>
      <c r="Q48" s="298">
        <f>初期条件!$F71</f>
        <v>480000</v>
      </c>
      <c r="R48" s="298">
        <f>初期条件!$F71</f>
        <v>480000</v>
      </c>
      <c r="S48" s="298">
        <f>初期条件!$F71</f>
        <v>480000</v>
      </c>
      <c r="T48" s="298">
        <f>初期条件!$F71</f>
        <v>480000</v>
      </c>
      <c r="U48" s="298">
        <f>初期条件!$F71</f>
        <v>480000</v>
      </c>
      <c r="V48" s="298">
        <f>初期条件!$F71</f>
        <v>480000</v>
      </c>
      <c r="W48" s="298">
        <f>初期条件!$F71</f>
        <v>480000</v>
      </c>
      <c r="X48" s="298">
        <f>初期条件!$F71</f>
        <v>480000</v>
      </c>
      <c r="Y48" s="298">
        <f>初期条件!$F71</f>
        <v>480000</v>
      </c>
      <c r="Z48" s="125"/>
      <c r="AA48" s="125"/>
      <c r="AB48" s="125"/>
      <c r="AC48" s="125"/>
      <c r="AD48" s="125"/>
      <c r="AE48" s="125">
        <f t="shared" si="22"/>
        <v>9600000</v>
      </c>
    </row>
    <row r="49" spans="2:31" ht="27.75" customHeight="1">
      <c r="B49" s="330"/>
      <c r="C49" s="332" t="s">
        <v>197</v>
      </c>
      <c r="D49" s="333"/>
      <c r="E49" s="346"/>
      <c r="F49" s="375"/>
      <c r="G49" s="375"/>
      <c r="H49" s="375"/>
      <c r="I49" s="375"/>
      <c r="J49" s="301"/>
      <c r="K49" s="301"/>
      <c r="L49" s="301"/>
      <c r="M49" s="301"/>
      <c r="N49" s="301"/>
      <c r="O49" s="301"/>
      <c r="P49" s="301"/>
      <c r="Q49" s="301"/>
      <c r="R49" s="301"/>
      <c r="S49" s="301"/>
      <c r="T49" s="301"/>
      <c r="U49" s="301"/>
      <c r="V49" s="301"/>
      <c r="W49" s="301"/>
      <c r="X49" s="301"/>
      <c r="Y49" s="301">
        <f>5*7*25000*(1+3/100)^X61+500000</f>
        <v>2034317.7964424628</v>
      </c>
      <c r="Z49" s="127"/>
      <c r="AA49" s="127"/>
      <c r="AB49" s="127"/>
      <c r="AC49" s="127"/>
      <c r="AD49" s="127"/>
      <c r="AE49" s="125">
        <f t="shared" si="22"/>
        <v>2034317.7964424628</v>
      </c>
    </row>
    <row r="50" spans="2:31" ht="27.75" customHeight="1">
      <c r="B50" s="330"/>
      <c r="C50" s="331" t="s">
        <v>226</v>
      </c>
      <c r="D50" s="331"/>
      <c r="E50" s="294"/>
      <c r="F50" s="298"/>
      <c r="G50" s="298"/>
      <c r="H50" s="298"/>
      <c r="I50" s="298"/>
      <c r="J50" s="298"/>
      <c r="K50" s="298"/>
      <c r="L50" s="298"/>
      <c r="M50" s="298"/>
      <c r="N50" s="298"/>
      <c r="O50" s="298">
        <f>200000</f>
        <v>200000</v>
      </c>
      <c r="P50" s="298"/>
      <c r="Q50" s="298"/>
      <c r="R50" s="298"/>
      <c r="S50" s="298"/>
      <c r="T50" s="298"/>
      <c r="U50" s="298"/>
      <c r="V50" s="298"/>
      <c r="W50" s="298"/>
      <c r="X50" s="298"/>
      <c r="Y50" s="298"/>
      <c r="Z50" s="125"/>
      <c r="AA50" s="125"/>
      <c r="AB50" s="125"/>
      <c r="AC50" s="125"/>
      <c r="AD50" s="125"/>
      <c r="AE50" s="125">
        <f t="shared" si="22"/>
        <v>200000</v>
      </c>
    </row>
    <row r="51" spans="2:31" ht="27.75" customHeight="1">
      <c r="B51" s="330"/>
      <c r="C51" s="331" t="s">
        <v>83</v>
      </c>
      <c r="D51" s="376">
        <f>SUM(F39:F51)</f>
        <v>44392502.359841175</v>
      </c>
      <c r="E51" s="294"/>
      <c r="F51" s="298">
        <f>初期条件!$F$78*0</f>
        <v>0</v>
      </c>
      <c r="G51" s="298">
        <f>F51</f>
        <v>0</v>
      </c>
      <c r="H51" s="298">
        <f t="shared" ref="H51:AD51" si="27">G51</f>
        <v>0</v>
      </c>
      <c r="I51" s="298">
        <f t="shared" si="27"/>
        <v>0</v>
      </c>
      <c r="J51" s="298">
        <f t="shared" si="27"/>
        <v>0</v>
      </c>
      <c r="K51" s="298">
        <f t="shared" si="27"/>
        <v>0</v>
      </c>
      <c r="L51" s="298">
        <f t="shared" si="27"/>
        <v>0</v>
      </c>
      <c r="M51" s="298">
        <f t="shared" si="27"/>
        <v>0</v>
      </c>
      <c r="N51" s="298">
        <f t="shared" si="27"/>
        <v>0</v>
      </c>
      <c r="O51" s="298">
        <f t="shared" si="27"/>
        <v>0</v>
      </c>
      <c r="P51" s="298">
        <f t="shared" si="27"/>
        <v>0</v>
      </c>
      <c r="Q51" s="298">
        <f t="shared" si="27"/>
        <v>0</v>
      </c>
      <c r="R51" s="298">
        <f t="shared" si="27"/>
        <v>0</v>
      </c>
      <c r="S51" s="298">
        <f t="shared" si="27"/>
        <v>0</v>
      </c>
      <c r="T51" s="298">
        <f t="shared" si="27"/>
        <v>0</v>
      </c>
      <c r="U51" s="298">
        <f t="shared" si="27"/>
        <v>0</v>
      </c>
      <c r="V51" s="298">
        <f t="shared" si="27"/>
        <v>0</v>
      </c>
      <c r="W51" s="298">
        <f t="shared" si="27"/>
        <v>0</v>
      </c>
      <c r="X51" s="298">
        <f t="shared" si="27"/>
        <v>0</v>
      </c>
      <c r="Y51" s="298">
        <f t="shared" si="27"/>
        <v>0</v>
      </c>
      <c r="Z51" s="125">
        <f t="shared" si="27"/>
        <v>0</v>
      </c>
      <c r="AA51" s="125">
        <f t="shared" si="27"/>
        <v>0</v>
      </c>
      <c r="AB51" s="125">
        <f t="shared" si="27"/>
        <v>0</v>
      </c>
      <c r="AC51" s="125">
        <f t="shared" si="27"/>
        <v>0</v>
      </c>
      <c r="AD51" s="125">
        <f t="shared" si="27"/>
        <v>0</v>
      </c>
      <c r="AE51" s="125">
        <f t="shared" si="22"/>
        <v>0</v>
      </c>
    </row>
    <row r="52" spans="2:31" ht="27.75" customHeight="1">
      <c r="B52" s="725" t="s">
        <v>89</v>
      </c>
      <c r="C52" s="725"/>
      <c r="D52" s="339" t="s">
        <v>353</v>
      </c>
      <c r="E52" s="347">
        <f>-初期条件!F62</f>
        <v>-325331059.19999999</v>
      </c>
      <c r="F52" s="348">
        <f t="shared" ref="F52:AD52" si="28">F34-F38</f>
        <v>-3074028.8214519322</v>
      </c>
      <c r="G52" s="348">
        <f t="shared" si="28"/>
        <v>-1970608.0078497604</v>
      </c>
      <c r="H52" s="348">
        <f t="shared" si="28"/>
        <v>-934914.38843300939</v>
      </c>
      <c r="I52" s="348">
        <f t="shared" si="28"/>
        <v>41779.411804161966</v>
      </c>
      <c r="J52" s="348">
        <f t="shared" si="28"/>
        <v>967091.76113513112</v>
      </c>
      <c r="K52" s="348">
        <f t="shared" si="28"/>
        <v>1847672.8681063727</v>
      </c>
      <c r="L52" s="348">
        <f t="shared" si="28"/>
        <v>2689327.7409575433</v>
      </c>
      <c r="M52" s="348">
        <f t="shared" si="28"/>
        <v>3497123.5311795697</v>
      </c>
      <c r="N52" s="348">
        <f t="shared" si="28"/>
        <v>32389678.480709624</v>
      </c>
      <c r="O52" s="348">
        <f t="shared" si="28"/>
        <v>32173868.156478032</v>
      </c>
      <c r="P52" s="348">
        <f t="shared" si="28"/>
        <v>32335852.17766317</v>
      </c>
      <c r="Q52" s="348">
        <f t="shared" si="28"/>
        <v>32278571.730225898</v>
      </c>
      <c r="R52" s="348">
        <f t="shared" si="28"/>
        <v>32204593.864170942</v>
      </c>
      <c r="S52" s="348">
        <f t="shared" si="28"/>
        <v>32116159.011839963</v>
      </c>
      <c r="T52" s="348">
        <f t="shared" si="28"/>
        <v>32015222.471366316</v>
      </c>
      <c r="U52" s="348">
        <f t="shared" si="28"/>
        <v>31903490.621716082</v>
      </c>
      <c r="V52" s="348">
        <f t="shared" si="28"/>
        <v>31782452.538403764</v>
      </c>
      <c r="W52" s="348">
        <f t="shared" si="28"/>
        <v>31653407.593997292</v>
      </c>
      <c r="X52" s="348">
        <f t="shared" si="28"/>
        <v>31517489.553343996</v>
      </c>
      <c r="Y52" s="348">
        <f t="shared" si="28"/>
        <v>30825253.612245686</v>
      </c>
      <c r="Z52" s="132">
        <f t="shared" si="28"/>
        <v>33192748.543313913</v>
      </c>
      <c r="AA52" s="132">
        <f t="shared" si="28"/>
        <v>33041657.562990956</v>
      </c>
      <c r="AB52" s="132">
        <f t="shared" si="28"/>
        <v>32874027.552123386</v>
      </c>
      <c r="AC52" s="132">
        <f t="shared" si="28"/>
        <v>32689006.115233567</v>
      </c>
      <c r="AD52" s="132">
        <f t="shared" si="28"/>
        <v>32504909.785528202</v>
      </c>
      <c r="AE52" s="132">
        <f t="shared" si="22"/>
        <v>550561833.4667989</v>
      </c>
    </row>
    <row r="53" spans="2:31" ht="27.75" customHeight="1">
      <c r="B53" s="718" t="s">
        <v>91</v>
      </c>
      <c r="C53" s="718"/>
      <c r="D53" s="340"/>
      <c r="E53" s="294"/>
      <c r="F53" s="298">
        <f>F52</f>
        <v>-3074028.8214519322</v>
      </c>
      <c r="G53" s="298">
        <f t="shared" ref="G53:AD53" si="29">F53+G52</f>
        <v>-5044636.8293016925</v>
      </c>
      <c r="H53" s="298">
        <f t="shared" si="29"/>
        <v>-5979551.2177347019</v>
      </c>
      <c r="I53" s="298">
        <f t="shared" si="29"/>
        <v>-5937771.80593054</v>
      </c>
      <c r="J53" s="298">
        <f t="shared" si="29"/>
        <v>-4970680.0447954088</v>
      </c>
      <c r="K53" s="298">
        <f t="shared" si="29"/>
        <v>-3123007.1766890362</v>
      </c>
      <c r="L53" s="298">
        <f t="shared" si="29"/>
        <v>-433679.43573149294</v>
      </c>
      <c r="M53" s="298">
        <f t="shared" si="29"/>
        <v>3063444.0954480767</v>
      </c>
      <c r="N53" s="298">
        <f t="shared" si="29"/>
        <v>35453122.576157704</v>
      </c>
      <c r="O53" s="298">
        <f t="shared" si="29"/>
        <v>67626990.732635736</v>
      </c>
      <c r="P53" s="298">
        <f t="shared" si="29"/>
        <v>99962842.910298914</v>
      </c>
      <c r="Q53" s="298">
        <f t="shared" si="29"/>
        <v>132241414.6405248</v>
      </c>
      <c r="R53" s="298">
        <f t="shared" si="29"/>
        <v>164446008.50469574</v>
      </c>
      <c r="S53" s="298">
        <f t="shared" si="29"/>
        <v>196562167.5165357</v>
      </c>
      <c r="T53" s="298">
        <f t="shared" si="29"/>
        <v>228577389.98790202</v>
      </c>
      <c r="U53" s="298">
        <f t="shared" si="29"/>
        <v>260480880.6096181</v>
      </c>
      <c r="V53" s="298">
        <f t="shared" si="29"/>
        <v>292263333.14802188</v>
      </c>
      <c r="W53" s="298">
        <f t="shared" si="29"/>
        <v>323916740.74201918</v>
      </c>
      <c r="X53" s="298">
        <f t="shared" si="29"/>
        <v>355434230.29536319</v>
      </c>
      <c r="Y53" s="298">
        <f t="shared" si="29"/>
        <v>386259483.90760887</v>
      </c>
      <c r="Z53" s="125">
        <f t="shared" si="29"/>
        <v>419452232.45092279</v>
      </c>
      <c r="AA53" s="125">
        <f t="shared" si="29"/>
        <v>452493890.01391375</v>
      </c>
      <c r="AB53" s="125">
        <f t="shared" si="29"/>
        <v>485367917.56603712</v>
      </c>
      <c r="AC53" s="125">
        <f t="shared" si="29"/>
        <v>518056923.68127066</v>
      </c>
      <c r="AD53" s="125">
        <f t="shared" si="29"/>
        <v>550561833.4667989</v>
      </c>
      <c r="AE53" s="133">
        <f>AD53</f>
        <v>550561833.4667989</v>
      </c>
    </row>
    <row r="54" spans="2:31" ht="27.75" customHeight="1">
      <c r="B54" s="718" t="s">
        <v>202</v>
      </c>
      <c r="C54" s="718"/>
      <c r="D54" s="340"/>
      <c r="E54" s="294"/>
      <c r="F54" s="298">
        <f t="shared" ref="F54:AD54" si="30">F25</f>
        <v>2048297.4751547507</v>
      </c>
      <c r="G54" s="298">
        <f t="shared" si="30"/>
        <v>2450147.9520713151</v>
      </c>
      <c r="H54" s="298">
        <f t="shared" si="30"/>
        <v>2714249.8250225829</v>
      </c>
      <c r="I54" s="298">
        <f t="shared" si="30"/>
        <v>2963306.7440830502</v>
      </c>
      <c r="J54" s="298">
        <f t="shared" si="30"/>
        <v>3199261.3931624512</v>
      </c>
      <c r="K54" s="298">
        <f t="shared" si="30"/>
        <v>3423809.5754401139</v>
      </c>
      <c r="L54" s="298">
        <f t="shared" si="30"/>
        <v>3638431.568017168</v>
      </c>
      <c r="M54" s="298">
        <f t="shared" si="30"/>
        <v>3844419.494523779</v>
      </c>
      <c r="N54" s="298">
        <f t="shared" si="30"/>
        <v>3953071.724028944</v>
      </c>
      <c r="O54" s="298">
        <f t="shared" si="30"/>
        <v>3898040.091349897</v>
      </c>
      <c r="P54" s="298">
        <f t="shared" si="30"/>
        <v>3939346.0167521089</v>
      </c>
      <c r="Q54" s="298">
        <f t="shared" si="30"/>
        <v>3924739.5026556086</v>
      </c>
      <c r="R54" s="298">
        <f t="shared" si="30"/>
        <v>3905875.1468115919</v>
      </c>
      <c r="S54" s="298">
        <f t="shared" si="30"/>
        <v>3883324.2594671934</v>
      </c>
      <c r="T54" s="298">
        <f t="shared" si="30"/>
        <v>3857585.4416464129</v>
      </c>
      <c r="U54" s="298">
        <f t="shared" si="30"/>
        <v>3829093.8199856007</v>
      </c>
      <c r="V54" s="298">
        <f t="shared" si="30"/>
        <v>3798229.1087409607</v>
      </c>
      <c r="W54" s="298">
        <f t="shared" si="30"/>
        <v>8192097.105917328</v>
      </c>
      <c r="X54" s="298">
        <f t="shared" si="30"/>
        <v>8157438.0055507198</v>
      </c>
      <c r="Y54" s="298">
        <f t="shared" si="30"/>
        <v>7980917.8405706501</v>
      </c>
      <c r="Z54" s="125">
        <f t="shared" si="30"/>
        <v>8584629.0479930472</v>
      </c>
      <c r="AA54" s="125">
        <f t="shared" si="30"/>
        <v>8546100.8480106946</v>
      </c>
      <c r="AB54" s="125">
        <f t="shared" si="30"/>
        <v>8503355.1952394638</v>
      </c>
      <c r="AC54" s="125">
        <f t="shared" si="30"/>
        <v>8456174.7288325597</v>
      </c>
      <c r="AD54" s="125">
        <f t="shared" si="30"/>
        <v>8409230.1647576913</v>
      </c>
      <c r="AE54" s="127">
        <f>SUM(F54:AD54)</f>
        <v>126101172.0757857</v>
      </c>
    </row>
    <row r="55" spans="2:31" ht="27.75" customHeight="1">
      <c r="B55" s="727" t="s">
        <v>212</v>
      </c>
      <c r="C55" s="728"/>
      <c r="D55" s="378"/>
      <c r="E55" s="372"/>
      <c r="F55" s="373">
        <f t="shared" ref="F55:AD55" si="31">F26</f>
        <v>425724.57326745795</v>
      </c>
      <c r="G55" s="373">
        <f t="shared" si="31"/>
        <v>509246.43709717528</v>
      </c>
      <c r="H55" s="373">
        <f t="shared" si="31"/>
        <v>564138.19892626232</v>
      </c>
      <c r="I55" s="373">
        <f t="shared" si="31"/>
        <v>615902.97033883003</v>
      </c>
      <c r="J55" s="373">
        <f t="shared" si="31"/>
        <v>664944.52485337213</v>
      </c>
      <c r="K55" s="373">
        <f t="shared" si="31"/>
        <v>711615.32352284715</v>
      </c>
      <c r="L55" s="373">
        <f t="shared" si="31"/>
        <v>756223.03178396041</v>
      </c>
      <c r="M55" s="373">
        <f t="shared" si="31"/>
        <v>799036.20866572659</v>
      </c>
      <c r="N55" s="373">
        <f t="shared" si="31"/>
        <v>821618.82891581976</v>
      </c>
      <c r="O55" s="373">
        <f t="shared" si="31"/>
        <v>810180.88173154718</v>
      </c>
      <c r="P55" s="373">
        <f t="shared" si="31"/>
        <v>818766.03485435981</v>
      </c>
      <c r="Q55" s="373">
        <f t="shared" si="31"/>
        <v>815730.17114018521</v>
      </c>
      <c r="R55" s="373">
        <f t="shared" si="31"/>
        <v>811809.34423927206</v>
      </c>
      <c r="S55" s="373">
        <f t="shared" si="31"/>
        <v>807122.29706573032</v>
      </c>
      <c r="T55" s="373">
        <f t="shared" si="31"/>
        <v>801772.66042062698</v>
      </c>
      <c r="U55" s="373">
        <f t="shared" si="31"/>
        <v>795850.87238916405</v>
      </c>
      <c r="V55" s="373">
        <f t="shared" si="31"/>
        <v>789435.85397361137</v>
      </c>
      <c r="W55" s="373">
        <f t="shared" si="31"/>
        <v>1702671.1631906603</v>
      </c>
      <c r="X55" s="373">
        <f t="shared" si="31"/>
        <v>1695467.5070360317</v>
      </c>
      <c r="Y55" s="373">
        <f t="shared" si="31"/>
        <v>1658779.0021578213</v>
      </c>
      <c r="Z55" s="373">
        <f t="shared" si="31"/>
        <v>1784256.2335044371</v>
      </c>
      <c r="AA55" s="373">
        <f t="shared" si="31"/>
        <v>1776248.4115473207</v>
      </c>
      <c r="AB55" s="373">
        <f t="shared" si="31"/>
        <v>1767364.0209713394</v>
      </c>
      <c r="AC55" s="373">
        <f t="shared" si="31"/>
        <v>1757557.8848161791</v>
      </c>
      <c r="AD55" s="373">
        <f t="shared" si="31"/>
        <v>1747800.7793417948</v>
      </c>
      <c r="AE55" s="374"/>
    </row>
    <row r="56" spans="2:31" ht="27.75" customHeight="1">
      <c r="B56" s="727" t="s">
        <v>213</v>
      </c>
      <c r="C56" s="728" t="s">
        <v>210</v>
      </c>
      <c r="D56" s="378"/>
      <c r="E56" s="372"/>
      <c r="F56" s="373">
        <f>F54*初期条件!$D$93</f>
        <v>118801.25355897554</v>
      </c>
      <c r="G56" s="373">
        <f>G54*初期条件!$D$93</f>
        <v>142108.58122013629</v>
      </c>
      <c r="H56" s="373">
        <f>H54*初期条件!$D$93</f>
        <v>157426.4898513098</v>
      </c>
      <c r="I56" s="373">
        <f>I54*初期条件!$D$93</f>
        <v>171871.79115681691</v>
      </c>
      <c r="J56" s="373">
        <f>J54*初期条件!$D$93</f>
        <v>185557.16080342219</v>
      </c>
      <c r="K56" s="373">
        <f>K54*初期条件!$D$93</f>
        <v>198580.95537552662</v>
      </c>
      <c r="L56" s="373">
        <f>L54*初期条件!$D$93</f>
        <v>211029.03094499576</v>
      </c>
      <c r="M56" s="373">
        <f>M54*初期条件!$D$93</f>
        <v>222976.33068237919</v>
      </c>
      <c r="N56" s="373">
        <f>N54*初期条件!$D$93</f>
        <v>229278.15999367877</v>
      </c>
      <c r="O56" s="373">
        <f>O54*初期条件!$D$93</f>
        <v>226086.32529829405</v>
      </c>
      <c r="P56" s="373">
        <f>P54*初期条件!$D$93</f>
        <v>228482.06897162233</v>
      </c>
      <c r="Q56" s="373">
        <f>Q54*初期条件!$D$93</f>
        <v>227634.8911540253</v>
      </c>
      <c r="R56" s="373">
        <f>R54*初期条件!$D$93</f>
        <v>226540.75851507235</v>
      </c>
      <c r="S56" s="373">
        <f>S54*初期条件!$D$93</f>
        <v>225232.80704909723</v>
      </c>
      <c r="T56" s="373">
        <f>T54*初期条件!$D$93</f>
        <v>223739.95561549196</v>
      </c>
      <c r="U56" s="373">
        <f>U54*初期条件!$D$93</f>
        <v>222087.44155916484</v>
      </c>
      <c r="V56" s="373">
        <f>V54*初期条件!$D$93</f>
        <v>220297.28830697574</v>
      </c>
      <c r="W56" s="373">
        <f>W54*初期条件!$D$93</f>
        <v>475141.63214320503</v>
      </c>
      <c r="X56" s="373">
        <f>X54*初期条件!$D$93</f>
        <v>473131.40432194178</v>
      </c>
      <c r="Y56" s="373">
        <f>Y54*初期条件!$D$93</f>
        <v>462893.2347530977</v>
      </c>
      <c r="Z56" s="373">
        <f>Z54*初期条件!$D$93</f>
        <v>497908.48478359677</v>
      </c>
      <c r="AA56" s="373">
        <f>AA54*初期条件!$D$93</f>
        <v>495673.84918462031</v>
      </c>
      <c r="AB56" s="373">
        <f>AB54*初期条件!$D$93</f>
        <v>493194.60132388893</v>
      </c>
      <c r="AC56" s="373">
        <f>AC54*初期条件!$D$93</f>
        <v>490458.13427228847</v>
      </c>
      <c r="AD56" s="373">
        <f>AD54*初期条件!$D$93</f>
        <v>487735.34955594613</v>
      </c>
      <c r="AE56" s="374"/>
    </row>
    <row r="57" spans="2:31" ht="27.75" customHeight="1">
      <c r="B57" s="727" t="s">
        <v>214</v>
      </c>
      <c r="C57" s="728" t="s">
        <v>207</v>
      </c>
      <c r="D57" s="378"/>
      <c r="E57" s="372"/>
      <c r="F57" s="373">
        <f>F54*初期条件!$D$94</f>
        <v>301099.72884774837</v>
      </c>
      <c r="G57" s="373">
        <f>G54*初期条件!$D$94</f>
        <v>360171.74895448331</v>
      </c>
      <c r="H57" s="373">
        <f>H54*初期条件!$D$94</f>
        <v>398994.72427831969</v>
      </c>
      <c r="I57" s="373">
        <f>I54*初期条件!$D$94</f>
        <v>435606.09138020832</v>
      </c>
      <c r="J57" s="373">
        <f>J54*初期条件!$D$94</f>
        <v>470291.42479488032</v>
      </c>
      <c r="K57" s="373">
        <f>K54*初期条件!$D$94</f>
        <v>503300.00758969673</v>
      </c>
      <c r="L57" s="373">
        <f>L54*初期条件!$D$94</f>
        <v>534849.44049852365</v>
      </c>
      <c r="M57" s="373">
        <f>M54*初期条件!$D$94</f>
        <v>565129.66569499543</v>
      </c>
      <c r="N57" s="373">
        <f>N54*初期条件!$D$94</f>
        <v>581101.54343225469</v>
      </c>
      <c r="O57" s="373">
        <f>O54*初期条件!$D$94</f>
        <v>573011.89342843485</v>
      </c>
      <c r="P57" s="373">
        <f>P54*初期条件!$D$94</f>
        <v>579083.86446255993</v>
      </c>
      <c r="Q57" s="373">
        <f>Q54*初期条件!$D$94</f>
        <v>576936.70689037442</v>
      </c>
      <c r="R57" s="373">
        <f>R54*初期条件!$D$94</f>
        <v>574163.64658130403</v>
      </c>
      <c r="S57" s="373">
        <f>S54*初期条件!$D$94</f>
        <v>570848.66614167741</v>
      </c>
      <c r="T57" s="373">
        <f>T54*初期条件!$D$94</f>
        <v>567065.05992202263</v>
      </c>
      <c r="U57" s="373">
        <f>U54*初期条件!$D$94</f>
        <v>562876.79153788323</v>
      </c>
      <c r="V57" s="373">
        <f>V54*初期条件!$D$94</f>
        <v>558339.67898492119</v>
      </c>
      <c r="W57" s="373">
        <f>W54*初期条件!$D$94</f>
        <v>1204238.2745698472</v>
      </c>
      <c r="X57" s="373">
        <f>X54*初期条件!$D$94</f>
        <v>1199143.3868159556</v>
      </c>
      <c r="Y57" s="373">
        <f>Y54*初期条件!$D$94</f>
        <v>1173194.9225638856</v>
      </c>
      <c r="Z57" s="373">
        <f>Z54*初期条件!$D$94</f>
        <v>1261940.4700549778</v>
      </c>
      <c r="AA57" s="373">
        <f>AA54*初期条件!$D$94</f>
        <v>1256276.824657572</v>
      </c>
      <c r="AB57" s="373">
        <f>AB54*初期条件!$D$94</f>
        <v>1249993.2137002011</v>
      </c>
      <c r="AC57" s="373">
        <f>AC54*初期条件!$D$94</f>
        <v>1243057.6851383862</v>
      </c>
      <c r="AD57" s="373">
        <f>AD54*初期条件!$D$94</f>
        <v>1236156.8342193805</v>
      </c>
      <c r="AE57" s="374"/>
    </row>
    <row r="58" spans="2:31" ht="27.75" customHeight="1">
      <c r="B58" s="726" t="s">
        <v>90</v>
      </c>
      <c r="C58" s="726"/>
      <c r="D58" s="335"/>
      <c r="E58" s="294">
        <f>E52</f>
        <v>-325331059.19999999</v>
      </c>
      <c r="F58" s="298">
        <f t="shared" ref="F58:AD58" si="32">F52-(F54+F55+F56+F57)</f>
        <v>-5967951.8522808645</v>
      </c>
      <c r="G58" s="298">
        <f t="shared" si="32"/>
        <v>-5432282.7271928713</v>
      </c>
      <c r="H58" s="298">
        <f t="shared" si="32"/>
        <v>-4769723.6265114844</v>
      </c>
      <c r="I58" s="298">
        <f t="shared" si="32"/>
        <v>-4144908.1851547435</v>
      </c>
      <c r="J58" s="298">
        <f t="shared" si="32"/>
        <v>-3552962.7424789947</v>
      </c>
      <c r="K58" s="298">
        <f t="shared" si="32"/>
        <v>-2989632.9938218119</v>
      </c>
      <c r="L58" s="298">
        <f t="shared" si="32"/>
        <v>-2451205.3302871045</v>
      </c>
      <c r="M58" s="298">
        <f t="shared" si="32"/>
        <v>-1934438.1683873106</v>
      </c>
      <c r="N58" s="298">
        <f t="shared" si="32"/>
        <v>26804608.224338926</v>
      </c>
      <c r="O58" s="298">
        <f t="shared" si="32"/>
        <v>26666548.964669861</v>
      </c>
      <c r="P58" s="298">
        <f t="shared" si="32"/>
        <v>26770174.19262252</v>
      </c>
      <c r="Q58" s="298">
        <f t="shared" si="32"/>
        <v>26733530.458385706</v>
      </c>
      <c r="R58" s="298">
        <f t="shared" si="32"/>
        <v>26686204.968023703</v>
      </c>
      <c r="S58" s="298">
        <f t="shared" si="32"/>
        <v>26629630.982116263</v>
      </c>
      <c r="T58" s="298">
        <f t="shared" si="32"/>
        <v>26565059.353761762</v>
      </c>
      <c r="U58" s="298">
        <f t="shared" si="32"/>
        <v>26493581.69624427</v>
      </c>
      <c r="V58" s="298">
        <f t="shared" si="32"/>
        <v>26416150.608397294</v>
      </c>
      <c r="W58" s="298">
        <f t="shared" si="32"/>
        <v>20079259.418176252</v>
      </c>
      <c r="X58" s="298">
        <f t="shared" si="32"/>
        <v>19992309.249619346</v>
      </c>
      <c r="Y58" s="298">
        <f t="shared" si="32"/>
        <v>19549468.61220023</v>
      </c>
      <c r="Z58" s="298">
        <f t="shared" si="32"/>
        <v>21064014.306977853</v>
      </c>
      <c r="AA58" s="298">
        <f t="shared" si="32"/>
        <v>20967357.62959075</v>
      </c>
      <c r="AB58" s="298">
        <f t="shared" si="32"/>
        <v>20860120.520888492</v>
      </c>
      <c r="AC58" s="298">
        <f t="shared" si="32"/>
        <v>20741757.682174154</v>
      </c>
      <c r="AD58" s="298">
        <f t="shared" si="32"/>
        <v>20623986.657653388</v>
      </c>
      <c r="AE58" s="127">
        <f>SUM(F58:AD58)</f>
        <v>372400657.89972562</v>
      </c>
    </row>
    <row r="59" spans="2:31" ht="27.75" customHeight="1">
      <c r="B59" s="718" t="s">
        <v>92</v>
      </c>
      <c r="C59" s="718"/>
      <c r="D59" s="341" t="s">
        <v>96</v>
      </c>
      <c r="E59" s="349" t="s">
        <v>97</v>
      </c>
      <c r="F59" s="298">
        <f>F58</f>
        <v>-5967951.8522808645</v>
      </c>
      <c r="G59" s="298">
        <f t="shared" ref="G59:AD59" si="33">F59+G58</f>
        <v>-11400234.579473736</v>
      </c>
      <c r="H59" s="298">
        <f t="shared" si="33"/>
        <v>-16169958.20598522</v>
      </c>
      <c r="I59" s="298">
        <f t="shared" si="33"/>
        <v>-20314866.391139962</v>
      </c>
      <c r="J59" s="298">
        <f t="shared" si="33"/>
        <v>-23867829.133618958</v>
      </c>
      <c r="K59" s="298">
        <f t="shared" si="33"/>
        <v>-26857462.127440769</v>
      </c>
      <c r="L59" s="298">
        <f t="shared" si="33"/>
        <v>-29308667.457727872</v>
      </c>
      <c r="M59" s="298">
        <f t="shared" si="33"/>
        <v>-31243105.626115181</v>
      </c>
      <c r="N59" s="298">
        <f t="shared" si="33"/>
        <v>-4438497.4017762542</v>
      </c>
      <c r="O59" s="298">
        <f t="shared" si="33"/>
        <v>22228051.562893607</v>
      </c>
      <c r="P59" s="298">
        <f t="shared" si="33"/>
        <v>48998225.755516127</v>
      </c>
      <c r="Q59" s="298">
        <f t="shared" si="33"/>
        <v>75731756.213901833</v>
      </c>
      <c r="R59" s="298">
        <f t="shared" si="33"/>
        <v>102417961.18192554</v>
      </c>
      <c r="S59" s="298">
        <f t="shared" si="33"/>
        <v>129047592.1640418</v>
      </c>
      <c r="T59" s="298">
        <f t="shared" si="33"/>
        <v>155612651.51780355</v>
      </c>
      <c r="U59" s="298">
        <f t="shared" si="33"/>
        <v>182106233.21404782</v>
      </c>
      <c r="V59" s="298">
        <f t="shared" si="33"/>
        <v>208522383.82244512</v>
      </c>
      <c r="W59" s="298">
        <f t="shared" si="33"/>
        <v>228601643.24062139</v>
      </c>
      <c r="X59" s="298">
        <f t="shared" si="33"/>
        <v>248593952.49024072</v>
      </c>
      <c r="Y59" s="298">
        <f t="shared" si="33"/>
        <v>268143421.10244095</v>
      </c>
      <c r="Z59" s="125">
        <f t="shared" si="33"/>
        <v>289207435.40941882</v>
      </c>
      <c r="AA59" s="125">
        <f t="shared" si="33"/>
        <v>310174793.03900957</v>
      </c>
      <c r="AB59" s="125">
        <f t="shared" si="33"/>
        <v>331034913.55989808</v>
      </c>
      <c r="AC59" s="125">
        <f t="shared" si="33"/>
        <v>351776671.24207222</v>
      </c>
      <c r="AD59" s="125">
        <f t="shared" si="33"/>
        <v>372400657.89972562</v>
      </c>
      <c r="AE59" s="133">
        <f>AD59</f>
        <v>372400657.89972562</v>
      </c>
    </row>
    <row r="60" spans="2:31" ht="27.75" customHeight="1">
      <c r="B60" s="719" t="s">
        <v>142</v>
      </c>
      <c r="C60" s="719"/>
      <c r="D60" s="342">
        <f>IF(初期条件!$D$17=20,SUM(F60:Y60)/20,SUM(F60:AD60)/25)</f>
        <v>0.22564167471245677</v>
      </c>
      <c r="F60" s="350">
        <f>F52/初期条件!$F$15</f>
        <v>-3.1496417351485485E-2</v>
      </c>
      <c r="G60" s="350">
        <f>G52/初期条件!$F$15</f>
        <v>-2.0190797112337993E-2</v>
      </c>
      <c r="H60" s="350">
        <f>H52/初期条件!$F$15</f>
        <v>-9.5791078992182848E-3</v>
      </c>
      <c r="I60" s="350">
        <f>I52/初期条件!$F$15</f>
        <v>4.2807073951308457E-4</v>
      </c>
      <c r="J60" s="350">
        <f>J52/初期条件!$F$15</f>
        <v>9.9087964020806735E-3</v>
      </c>
      <c r="K60" s="350">
        <f>K52/初期条件!$F$15</f>
        <v>1.8931206947958176E-2</v>
      </c>
      <c r="L60" s="350">
        <f>L52/初期条件!$F$15</f>
        <v>2.7554780336808537E-2</v>
      </c>
      <c r="M60" s="350">
        <f>M52/初期条件!$F$15</f>
        <v>3.5831434467718352E-2</v>
      </c>
      <c r="N60" s="350">
        <f>N52/初期条件!$F$15</f>
        <v>0.33186378220976304</v>
      </c>
      <c r="O60" s="350">
        <f>O52/初期条件!$F$15</f>
        <v>0.32965259538115449</v>
      </c>
      <c r="P60" s="350">
        <f>P52/初期条件!$F$15</f>
        <v>0.33131227934374963</v>
      </c>
      <c r="Q60" s="350">
        <f>Q52/初期条件!$F$15</f>
        <v>0.33072538540639479</v>
      </c>
      <c r="R60" s="350">
        <f>R52/初期条件!$F$15</f>
        <v>0.32996741016303366</v>
      </c>
      <c r="S60" s="350">
        <f>S52/初期条件!$F$15</f>
        <v>0.32906130902370928</v>
      </c>
      <c r="T60" s="350">
        <f>T52/初期条件!$F$15</f>
        <v>0.32802711592096812</v>
      </c>
      <c r="U60" s="350">
        <f>U52/初期条件!$F$15</f>
        <v>0.32688231436820486</v>
      </c>
      <c r="V60" s="350">
        <f>V52/初期条件!$F$15</f>
        <v>0.3256421613934426</v>
      </c>
      <c r="W60" s="350">
        <f>W52/初期条件!$F$15</f>
        <v>0.32431997033337123</v>
      </c>
      <c r="X60" s="350">
        <f>X52/初期条件!$F$15</f>
        <v>0.32292735771239051</v>
      </c>
      <c r="Y60" s="350">
        <f>Y52/初期条件!$F$15</f>
        <v>0.3158347267147954</v>
      </c>
      <c r="Z60" s="137">
        <f>Z52/初期条件!$F$15</f>
        <v>0.34009201666148864</v>
      </c>
      <c r="AA60" s="137">
        <f>AA52/初期条件!$F$15</f>
        <v>0.33854394250516073</v>
      </c>
      <c r="AB60" s="137">
        <f>AB52/初期条件!$F$15</f>
        <v>0.3368264098828006</v>
      </c>
      <c r="AC60" s="137">
        <f>AC52/初期条件!$F$15</f>
        <v>0.33493068517306906</v>
      </c>
      <c r="AD60" s="137">
        <f>AD52/初期条件!$F$15</f>
        <v>0.33304443908688625</v>
      </c>
      <c r="AE60" s="137">
        <f>SUM(F60:AD60)/25</f>
        <v>0.22564167471245677</v>
      </c>
    </row>
    <row r="61" spans="2:31" ht="27.75" customHeight="1">
      <c r="B61" s="729" t="s">
        <v>383</v>
      </c>
      <c r="C61" s="730"/>
      <c r="D61" s="580">
        <f>IF(初期条件!$D$17=20,IRR(E52:Y52,8%),IRR(E52:AD52,8%))</f>
        <v>3.2082269970425736E-2</v>
      </c>
      <c r="F61" s="561">
        <f t="shared" ref="F61:AD61" si="34">F30</f>
        <v>1</v>
      </c>
      <c r="G61" s="351">
        <f t="shared" si="34"/>
        <v>2</v>
      </c>
      <c r="H61" s="351">
        <f t="shared" si="34"/>
        <v>3</v>
      </c>
      <c r="I61" s="351">
        <f t="shared" si="34"/>
        <v>4</v>
      </c>
      <c r="J61" s="351">
        <f t="shared" si="34"/>
        <v>5</v>
      </c>
      <c r="K61" s="351">
        <f t="shared" si="34"/>
        <v>6</v>
      </c>
      <c r="L61" s="351">
        <f t="shared" si="34"/>
        <v>7</v>
      </c>
      <c r="M61" s="351">
        <f t="shared" si="34"/>
        <v>8</v>
      </c>
      <c r="N61" s="351">
        <f t="shared" si="34"/>
        <v>9</v>
      </c>
      <c r="O61" s="351">
        <f t="shared" si="34"/>
        <v>10</v>
      </c>
      <c r="P61" s="351">
        <f t="shared" si="34"/>
        <v>11</v>
      </c>
      <c r="Q61" s="351">
        <f t="shared" si="34"/>
        <v>12</v>
      </c>
      <c r="R61" s="351">
        <f t="shared" si="34"/>
        <v>13</v>
      </c>
      <c r="S61" s="351">
        <f t="shared" si="34"/>
        <v>14</v>
      </c>
      <c r="T61" s="351">
        <f t="shared" si="34"/>
        <v>15</v>
      </c>
      <c r="U61" s="351">
        <f t="shared" si="34"/>
        <v>16</v>
      </c>
      <c r="V61" s="351">
        <f t="shared" si="34"/>
        <v>17</v>
      </c>
      <c r="W61" s="351">
        <f t="shared" si="34"/>
        <v>18</v>
      </c>
      <c r="X61" s="351">
        <f t="shared" si="34"/>
        <v>19</v>
      </c>
      <c r="Y61" s="351">
        <f t="shared" si="34"/>
        <v>20</v>
      </c>
      <c r="Z61" s="121">
        <f t="shared" si="34"/>
        <v>21</v>
      </c>
      <c r="AA61" s="121">
        <f t="shared" si="34"/>
        <v>22</v>
      </c>
      <c r="AB61" s="121">
        <f t="shared" si="34"/>
        <v>23</v>
      </c>
      <c r="AC61" s="121">
        <f t="shared" si="34"/>
        <v>24</v>
      </c>
      <c r="AD61" s="121">
        <f t="shared" si="34"/>
        <v>25</v>
      </c>
      <c r="AE61" s="134"/>
    </row>
    <row r="62" spans="2:31" ht="27.75" customHeight="1">
      <c r="B62" s="731" t="s">
        <v>382</v>
      </c>
      <c r="C62" s="731"/>
      <c r="D62" s="677">
        <f>IF(初期条件!$D$17=20,IRR(E62:Y62,8%),IRR(E62:AD62,8%))</f>
        <v>8.5850136863549364E-2</v>
      </c>
      <c r="E62" s="347">
        <f>-初期条件!F62</f>
        <v>-325331059.19999999</v>
      </c>
      <c r="F62" s="676">
        <f t="shared" ref="F62:AD62" si="35">F34-(F39+SUM(F42:F51))</f>
        <v>31188923.454232443</v>
      </c>
      <c r="G62" s="676">
        <f t="shared" si="35"/>
        <v>31523749.637909606</v>
      </c>
      <c r="H62" s="676">
        <f t="shared" si="35"/>
        <v>31790848.627401359</v>
      </c>
      <c r="I62" s="676">
        <f t="shared" si="35"/>
        <v>31998947.797713533</v>
      </c>
      <c r="J62" s="676">
        <f t="shared" si="35"/>
        <v>32155665.517119501</v>
      </c>
      <c r="K62" s="676">
        <f t="shared" si="35"/>
        <v>32267651.994165748</v>
      </c>
      <c r="L62" s="676">
        <f t="shared" si="35"/>
        <v>32340712.237091921</v>
      </c>
      <c r="M62" s="676">
        <f t="shared" si="35"/>
        <v>32379913.397388943</v>
      </c>
      <c r="N62" s="676">
        <f t="shared" si="35"/>
        <v>32389678.48070962</v>
      </c>
      <c r="O62" s="676">
        <f t="shared" si="35"/>
        <v>32173868.156478029</v>
      </c>
      <c r="P62" s="676">
        <f t="shared" si="35"/>
        <v>32335852.177663166</v>
      </c>
      <c r="Q62" s="676">
        <f t="shared" si="35"/>
        <v>32278571.730225895</v>
      </c>
      <c r="R62" s="676">
        <f t="shared" si="35"/>
        <v>32204593.864170939</v>
      </c>
      <c r="S62" s="676">
        <f t="shared" si="35"/>
        <v>32116159.01183996</v>
      </c>
      <c r="T62" s="676">
        <f t="shared" si="35"/>
        <v>32015222.471366316</v>
      </c>
      <c r="U62" s="676">
        <f t="shared" si="35"/>
        <v>31903490.621716082</v>
      </c>
      <c r="V62" s="676">
        <f t="shared" si="35"/>
        <v>31782452.538403764</v>
      </c>
      <c r="W62" s="676">
        <f t="shared" si="35"/>
        <v>31653407.593997292</v>
      </c>
      <c r="X62" s="676">
        <f t="shared" si="35"/>
        <v>31517489.553343996</v>
      </c>
      <c r="Y62" s="676">
        <f t="shared" si="35"/>
        <v>30825253.612245686</v>
      </c>
      <c r="Z62" s="676">
        <f t="shared" si="35"/>
        <v>33192748.543313913</v>
      </c>
      <c r="AA62" s="676">
        <f t="shared" si="35"/>
        <v>33041657.562990956</v>
      </c>
      <c r="AB62" s="676">
        <f t="shared" si="35"/>
        <v>32874027.552123386</v>
      </c>
      <c r="AC62" s="676">
        <f t="shared" si="35"/>
        <v>32689006.115233567</v>
      </c>
      <c r="AD62" s="676">
        <f t="shared" si="35"/>
        <v>32504909.785528202</v>
      </c>
      <c r="AE62" s="676">
        <f>SUM(F62:AD62)</f>
        <v>803144802.03437376</v>
      </c>
    </row>
    <row r="63" spans="2:31" ht="27.75" customHeight="1">
      <c r="B63" s="724" t="s">
        <v>346</v>
      </c>
      <c r="C63" s="724"/>
      <c r="D63" s="675">
        <f>IF(HLOOKUP(-E52,F53:AD61,9,TRUE)+1&gt;25,"-",HLOOKUP(-E52,F53:AD61,9,TRUE)+1)</f>
        <v>19</v>
      </c>
      <c r="F63" s="2"/>
      <c r="G63" s="562"/>
      <c r="H63" s="562"/>
      <c r="I63" s="562"/>
      <c r="J63" s="562"/>
      <c r="K63" s="562"/>
      <c r="L63" s="562"/>
      <c r="M63" s="562"/>
      <c r="N63" s="562"/>
      <c r="O63" s="562"/>
      <c r="P63" s="562"/>
      <c r="Q63" s="562"/>
      <c r="R63" s="562"/>
      <c r="S63" s="562"/>
      <c r="T63" s="562"/>
      <c r="U63" s="562"/>
      <c r="V63" s="562"/>
      <c r="W63" s="562"/>
      <c r="X63" s="562"/>
      <c r="Y63" s="562"/>
      <c r="Z63" s="563"/>
      <c r="AA63" s="563"/>
      <c r="AB63" s="563"/>
      <c r="AC63" s="563"/>
      <c r="AD63" s="563"/>
    </row>
    <row r="64" spans="2:31" ht="27.75" customHeight="1">
      <c r="C64" s="678" t="s">
        <v>215</v>
      </c>
      <c r="D64" s="679">
        <f>IF(初期条件!$D$17=20,SUM(F38:Y38)/設備所有者の売電収入シナリオ!D33,SUM(F38:AD38)/設備所有者の売電収入シナリオ!C33)</f>
        <v>7.8179860387441789</v>
      </c>
      <c r="F64" s="2"/>
    </row>
    <row r="65" spans="3:12" ht="27.75" customHeight="1">
      <c r="C65" s="227" t="s">
        <v>118</v>
      </c>
      <c r="D65" s="228">
        <f>初期条件!D15</f>
        <v>0.3</v>
      </c>
      <c r="E65" s="229" t="s">
        <v>119</v>
      </c>
      <c r="F65" s="287">
        <f>1-D65</f>
        <v>0.7</v>
      </c>
      <c r="G65" s="722" t="s">
        <v>148</v>
      </c>
      <c r="H65" s="722"/>
    </row>
    <row r="66" spans="3:12" ht="27.75" customHeight="1">
      <c r="C66" s="230" t="s">
        <v>138</v>
      </c>
      <c r="D66" s="460">
        <v>10</v>
      </c>
      <c r="E66" s="460">
        <v>20</v>
      </c>
      <c r="F66" s="288">
        <v>25</v>
      </c>
      <c r="G66" s="723">
        <f>AE53/-E52</f>
        <v>1.6923125471654903</v>
      </c>
      <c r="H66" s="723"/>
    </row>
    <row r="67" spans="3:12" ht="27.75" customHeight="1">
      <c r="C67" s="231"/>
      <c r="D67" s="232">
        <f>SUM($F$52:O52)/D$66/初期条件!$F$15</f>
        <v>6.9290434412195456E-2</v>
      </c>
      <c r="E67" s="232">
        <f>SUM($F52:Y52)/E$66/初期条件!$F$15</f>
        <v>0.19788021872510073</v>
      </c>
      <c r="F67" s="233">
        <f>SUM($F52:AD52)/F$66/初期条件!$F$15</f>
        <v>0.2256416747124568</v>
      </c>
    </row>
    <row r="68" spans="3:12" ht="27.75" customHeight="1">
      <c r="C68" s="234" t="s">
        <v>139</v>
      </c>
      <c r="D68" s="235">
        <f>D66</f>
        <v>10</v>
      </c>
      <c r="E68" s="235">
        <f>E66</f>
        <v>20</v>
      </c>
      <c r="F68" s="235">
        <f>F66</f>
        <v>25</v>
      </c>
    </row>
    <row r="69" spans="3:12" ht="33" customHeight="1">
      <c r="C69" s="234"/>
      <c r="D69" s="232">
        <f>SUM($F$52:O52)/D68/初期条件!F64</f>
        <v>2.0787130161790509E-2</v>
      </c>
      <c r="E69" s="232">
        <f>SUM($F$52:Y52)/E68/初期条件!F64</f>
        <v>5.9364065155265822E-2</v>
      </c>
      <c r="F69" s="233">
        <f>SUM($F$52:AD52)/F68/初期条件!F64</f>
        <v>6.7692501886619613E-2</v>
      </c>
      <c r="I69" s="716" t="s">
        <v>95</v>
      </c>
      <c r="J69" s="717"/>
      <c r="K69" s="343">
        <f>IRR(E52:Y52,7%)</f>
        <v>1.1976303480167205E-2</v>
      </c>
      <c r="L69" s="343"/>
    </row>
    <row r="70" spans="3:12" ht="27" customHeight="1">
      <c r="I70" s="217"/>
      <c r="J70" s="217" t="s">
        <v>156</v>
      </c>
      <c r="K70" s="217" t="s">
        <v>157</v>
      </c>
      <c r="L70" s="217" t="s">
        <v>158</v>
      </c>
    </row>
    <row r="71" spans="3:12" ht="28.5" customHeight="1">
      <c r="I71" s="217" t="s">
        <v>155</v>
      </c>
      <c r="J71" s="218">
        <v>0.1128</v>
      </c>
      <c r="K71" s="217">
        <v>0</v>
      </c>
      <c r="L71" s="218">
        <v>0.13600000000000001</v>
      </c>
    </row>
    <row r="72" spans="3:12" ht="35.25" customHeight="1">
      <c r="I72" s="217" t="s">
        <v>154</v>
      </c>
      <c r="J72" s="217">
        <v>951.97</v>
      </c>
      <c r="K72" s="217">
        <v>1073</v>
      </c>
      <c r="L72" s="217">
        <f>1218.93</f>
        <v>1218.93</v>
      </c>
    </row>
    <row r="73" spans="3:12" ht="35.25" customHeight="1">
      <c r="I73" s="217" t="s">
        <v>159</v>
      </c>
      <c r="J73" s="219">
        <f>INT(J72*$M68)*$D$31</f>
        <v>0</v>
      </c>
      <c r="K73" s="219">
        <f>INT(K72*$M68)*$D$31</f>
        <v>0</v>
      </c>
      <c r="L73" s="219">
        <f>INT(L72*$M68)*$D$31</f>
        <v>0</v>
      </c>
    </row>
    <row r="74" spans="3:12" ht="30" customHeight="1">
      <c r="I74" s="220" t="s">
        <v>161</v>
      </c>
      <c r="J74" s="219">
        <v>626449</v>
      </c>
      <c r="K74" s="219">
        <f>J74</f>
        <v>626449</v>
      </c>
      <c r="L74" s="219">
        <f>K74</f>
        <v>626449</v>
      </c>
    </row>
    <row r="75" spans="3:12" ht="30" customHeight="1">
      <c r="I75" s="220" t="s">
        <v>160</v>
      </c>
      <c r="J75" s="219">
        <v>1447919</v>
      </c>
      <c r="K75" s="219">
        <f>J75</f>
        <v>1447919</v>
      </c>
      <c r="L75" s="219">
        <f>K75</f>
        <v>1447919</v>
      </c>
    </row>
    <row r="76" spans="3:12">
      <c r="I76" s="217" t="s">
        <v>162</v>
      </c>
      <c r="J76" s="219">
        <f t="shared" ref="J76:L77" si="36">J$73-J74</f>
        <v>-626449</v>
      </c>
      <c r="K76" s="219">
        <f t="shared" si="36"/>
        <v>-626449</v>
      </c>
      <c r="L76" s="219">
        <f t="shared" si="36"/>
        <v>-626449</v>
      </c>
    </row>
    <row r="77" spans="3:12">
      <c r="I77" s="217" t="s">
        <v>163</v>
      </c>
      <c r="J77" s="219">
        <f t="shared" si="36"/>
        <v>-1447919</v>
      </c>
      <c r="K77" s="219">
        <f t="shared" si="36"/>
        <v>-1447919</v>
      </c>
      <c r="L77" s="219">
        <f t="shared" si="36"/>
        <v>-1447919</v>
      </c>
    </row>
    <row r="78" spans="3:12" ht="42">
      <c r="I78" s="220" t="s">
        <v>166</v>
      </c>
      <c r="J78" s="219">
        <v>13446699</v>
      </c>
      <c r="K78" s="219">
        <f>J78</f>
        <v>13446699</v>
      </c>
      <c r="L78" s="219">
        <f>K78</f>
        <v>13446699</v>
      </c>
    </row>
    <row r="79" spans="3:12" ht="28">
      <c r="I79" s="220" t="s">
        <v>167</v>
      </c>
      <c r="J79" s="219">
        <v>3361675</v>
      </c>
      <c r="K79" s="219">
        <f>J79</f>
        <v>3361675</v>
      </c>
      <c r="L79" s="219">
        <f>K79</f>
        <v>3361675</v>
      </c>
    </row>
    <row r="80" spans="3:12" ht="22">
      <c r="I80" s="221" t="s">
        <v>164</v>
      </c>
      <c r="J80" s="218">
        <f t="shared" ref="J80:L81" si="37">J76/J78</f>
        <v>-4.658756769970087E-2</v>
      </c>
      <c r="K80" s="218">
        <f t="shared" si="37"/>
        <v>-4.658756769970087E-2</v>
      </c>
      <c r="L80" s="218">
        <f t="shared" si="37"/>
        <v>-4.658756769970087E-2</v>
      </c>
    </row>
    <row r="81" spans="9:12" ht="22">
      <c r="I81" s="221" t="s">
        <v>165</v>
      </c>
      <c r="J81" s="218">
        <f t="shared" si="37"/>
        <v>-0.43071355797333177</v>
      </c>
      <c r="K81" s="218">
        <f t="shared" si="37"/>
        <v>-0.43071355797333177</v>
      </c>
      <c r="L81" s="218">
        <f t="shared" si="37"/>
        <v>-0.43071355797333177</v>
      </c>
    </row>
  </sheetData>
  <mergeCells count="29">
    <mergeCell ref="B62:C62"/>
    <mergeCell ref="B31:C31"/>
    <mergeCell ref="AD1:AE1"/>
    <mergeCell ref="B9:C9"/>
    <mergeCell ref="B24:C24"/>
    <mergeCell ref="B25:C25"/>
    <mergeCell ref="B28:C28"/>
    <mergeCell ref="B3:C3"/>
    <mergeCell ref="B5:C5"/>
    <mergeCell ref="B27:C27"/>
    <mergeCell ref="B30:D30"/>
    <mergeCell ref="B2:D2"/>
    <mergeCell ref="B26:C26"/>
    <mergeCell ref="I69:J69"/>
    <mergeCell ref="B59:C59"/>
    <mergeCell ref="B60:C60"/>
    <mergeCell ref="B53:C53"/>
    <mergeCell ref="B34:C34"/>
    <mergeCell ref="B38:C38"/>
    <mergeCell ref="G65:H65"/>
    <mergeCell ref="G66:H66"/>
    <mergeCell ref="B63:C63"/>
    <mergeCell ref="B52:C52"/>
    <mergeCell ref="B54:C54"/>
    <mergeCell ref="B58:C58"/>
    <mergeCell ref="B55:C55"/>
    <mergeCell ref="B61:C61"/>
    <mergeCell ref="B57:C57"/>
    <mergeCell ref="B56:C56"/>
  </mergeCells>
  <phoneticPr fontId="9" type="noConversion"/>
  <pageMargins left="0.23622047244094491" right="0.23622047244094491" top="0.74803149606299213" bottom="0.74803149606299213" header="0.31496062992125984" footer="0.31496062992125984"/>
  <pageSetup paperSize="8" scale="63" firstPageNumber="0" pageOrder="overThenDown" orientation="landscape" r:id="rId1"/>
  <headerFooter alignWithMargins="0"/>
  <rowBreaks count="1" manualBreakCount="1">
    <brk id="29" min="1" max="30"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M32"/>
  <sheetViews>
    <sheetView workbookViewId="0">
      <selection activeCell="C17" sqref="C17"/>
    </sheetView>
  </sheetViews>
  <sheetFormatPr defaultColWidth="8.81640625" defaultRowHeight="13"/>
  <cols>
    <col min="1" max="1" width="5" customWidth="1"/>
    <col min="2" max="2" width="5.6328125" customWidth="1"/>
    <col min="3" max="3" width="31.453125" customWidth="1"/>
    <col min="4" max="4" width="12.1796875" customWidth="1"/>
    <col min="5" max="5" width="9.36328125" customWidth="1"/>
    <col min="6" max="6" width="13.81640625" customWidth="1"/>
    <col min="7" max="9" width="11.1796875" customWidth="1"/>
    <col min="10" max="10" width="9.1796875" customWidth="1"/>
    <col min="11" max="12" width="11.1796875" customWidth="1"/>
    <col min="13" max="13" width="10.6328125" customWidth="1"/>
  </cols>
  <sheetData>
    <row r="2" spans="2:13" ht="17.25" customHeight="1">
      <c r="B2" s="755" t="s">
        <v>132</v>
      </c>
      <c r="C2" s="755"/>
      <c r="D2" s="114">
        <f>事業収支!$D$31</f>
        <v>2002</v>
      </c>
      <c r="F2" s="237" t="s">
        <v>118</v>
      </c>
      <c r="G2" s="236">
        <f>初期条件!D15</f>
        <v>0.3</v>
      </c>
      <c r="H2" s="237" t="s">
        <v>119</v>
      </c>
      <c r="I2" s="236">
        <f>1-G2</f>
        <v>0.7</v>
      </c>
      <c r="K2" s="749" t="s">
        <v>122</v>
      </c>
      <c r="L2" s="749"/>
      <c r="M2" s="118">
        <f>事業収支!D63</f>
        <v>19</v>
      </c>
    </row>
    <row r="3" spans="2:13" ht="17.25" customHeight="1">
      <c r="B3" s="110"/>
      <c r="C3" s="110" t="s">
        <v>146</v>
      </c>
      <c r="D3" s="96">
        <f>事業収支!D32</f>
        <v>325331059.19999999</v>
      </c>
      <c r="F3" s="238" t="str">
        <f>事業収支!C66</f>
        <v>自己資金投資利回り</v>
      </c>
      <c r="G3" s="239">
        <v>10</v>
      </c>
      <c r="H3" s="239">
        <v>20</v>
      </c>
      <c r="I3" s="239">
        <v>25</v>
      </c>
      <c r="K3" s="764" t="s">
        <v>149</v>
      </c>
      <c r="L3" s="765"/>
      <c r="M3" s="743">
        <f>事業収支!G66</f>
        <v>1.6923125471654903</v>
      </c>
    </row>
    <row r="4" spans="2:13" ht="17.25" customHeight="1">
      <c r="B4" s="110"/>
      <c r="C4" s="110" t="s">
        <v>147</v>
      </c>
      <c r="D4" s="174">
        <f>事業収支!D33</f>
        <v>97599317</v>
      </c>
      <c r="F4" s="238"/>
      <c r="G4" s="240">
        <f>事業収支!$D$67</f>
        <v>6.9290434412195456E-2</v>
      </c>
      <c r="H4" s="240">
        <f>事業収支!$E$67</f>
        <v>0.19788021872510073</v>
      </c>
      <c r="I4" s="240">
        <f>事業収支!$F$67</f>
        <v>0.2256416747124568</v>
      </c>
      <c r="K4" s="766"/>
      <c r="L4" s="766"/>
      <c r="M4" s="744"/>
    </row>
    <row r="5" spans="2:13" ht="17.25" customHeight="1">
      <c r="B5" s="2"/>
      <c r="C5" s="2"/>
      <c r="F5" s="241" t="str">
        <f>事業収支!C68</f>
        <v>総資産投資利回り</v>
      </c>
      <c r="G5" s="242">
        <f>G3</f>
        <v>10</v>
      </c>
      <c r="H5" s="242">
        <f>H3</f>
        <v>20</v>
      </c>
      <c r="I5" s="242">
        <f>I3</f>
        <v>25</v>
      </c>
      <c r="K5" s="750" t="s">
        <v>143</v>
      </c>
      <c r="L5" s="750"/>
      <c r="M5" s="226">
        <f>事業収支!K69</f>
        <v>1.1976303480167205E-2</v>
      </c>
    </row>
    <row r="6" spans="2:13" ht="17.25" customHeight="1" thickBot="1">
      <c r="B6" s="2"/>
      <c r="C6" s="2"/>
      <c r="F6" s="241"/>
      <c r="G6" s="240">
        <f>事業収支!$D$69</f>
        <v>2.0787130161790509E-2</v>
      </c>
      <c r="H6" s="240">
        <f>事業収支!$E$69</f>
        <v>5.9364065155265822E-2</v>
      </c>
      <c r="I6" s="240">
        <f>事業収支!$F$69</f>
        <v>6.7692501886619613E-2</v>
      </c>
      <c r="K6" s="762" t="s">
        <v>144</v>
      </c>
      <c r="L6" s="763"/>
      <c r="M6" s="226">
        <f>事業収支!L69</f>
        <v>0</v>
      </c>
    </row>
    <row r="7" spans="2:13" ht="17.25" customHeight="1" thickTop="1" thickBot="1">
      <c r="B7" s="747" t="s">
        <v>195</v>
      </c>
      <c r="C7" s="748"/>
    </row>
    <row r="8" spans="2:13" ht="17.25" customHeight="1" thickTop="1" thickBot="1">
      <c r="B8" s="747" t="s">
        <v>194</v>
      </c>
      <c r="C8" s="748"/>
      <c r="D8" s="138" t="s">
        <v>131</v>
      </c>
      <c r="E8" s="224">
        <v>1</v>
      </c>
      <c r="F8" s="224">
        <v>5</v>
      </c>
      <c r="G8" s="224">
        <v>10</v>
      </c>
      <c r="H8" s="224">
        <v>11</v>
      </c>
      <c r="I8" s="224">
        <v>15</v>
      </c>
      <c r="J8" s="224">
        <v>16</v>
      </c>
      <c r="K8" s="224">
        <v>20</v>
      </c>
      <c r="L8" s="224">
        <v>25</v>
      </c>
      <c r="M8" s="225" t="s">
        <v>130</v>
      </c>
    </row>
    <row r="9" spans="2:13" ht="17.25" customHeight="1" thickTop="1">
      <c r="B9" s="756" t="s">
        <v>16</v>
      </c>
      <c r="C9" s="757"/>
      <c r="D9" s="136">
        <f>D2</f>
        <v>2002</v>
      </c>
      <c r="E9" s="164">
        <f>事業収支!F34</f>
        <v>41318473.538389243</v>
      </c>
      <c r="F9" s="164">
        <f>事業収支!J34</f>
        <v>40498281.20523949</v>
      </c>
      <c r="G9" s="164">
        <f>事業収支!O34</f>
        <v>39495898.248988882</v>
      </c>
      <c r="H9" s="164">
        <f>事業収支!P34</f>
        <v>39298418.75774394</v>
      </c>
      <c r="I9" s="164">
        <f>事業収支!T34</f>
        <v>38518325.520754844</v>
      </c>
      <c r="J9" s="164">
        <f>事業収支!U34</f>
        <v>38325733.893151067</v>
      </c>
      <c r="K9" s="164">
        <f>事業収支!Y34</f>
        <v>37564948.936458647</v>
      </c>
      <c r="L9" s="164">
        <f>事業収支!AD34</f>
        <v>36635169.611368202</v>
      </c>
      <c r="M9" s="165">
        <f>事業収支!AE34</f>
        <v>973295955.01557291</v>
      </c>
    </row>
    <row r="10" spans="2:13" ht="17.25" customHeight="1">
      <c r="B10" s="166"/>
      <c r="C10" s="109" t="s">
        <v>77</v>
      </c>
      <c r="D10" s="113"/>
      <c r="E10" s="115">
        <f>事業収支!F35</f>
        <v>41318473.538389243</v>
      </c>
      <c r="F10" s="115">
        <f>事業収支!J35</f>
        <v>40498281.20523949</v>
      </c>
      <c r="G10" s="115">
        <f>事業収支!O35</f>
        <v>39495898.248988882</v>
      </c>
      <c r="H10" s="115">
        <f>事業収支!P35</f>
        <v>39298418.75774394</v>
      </c>
      <c r="I10" s="115">
        <f>事業収支!T35</f>
        <v>38518325.520754844</v>
      </c>
      <c r="J10" s="115">
        <f>事業収支!U35</f>
        <v>38325733.893151067</v>
      </c>
      <c r="K10" s="115">
        <f>事業収支!Y35</f>
        <v>37564948.936458647</v>
      </c>
      <c r="L10" s="115">
        <f>事業収支!AD35</f>
        <v>36635169.611368202</v>
      </c>
      <c r="M10" s="115">
        <f>事業収支!AE35</f>
        <v>973295955.01557291</v>
      </c>
    </row>
    <row r="11" spans="2:13" ht="17.25" customHeight="1">
      <c r="B11" s="166"/>
      <c r="C11" s="109"/>
      <c r="D11" s="113"/>
      <c r="E11" s="115">
        <f>事業収支!F36</f>
        <v>0</v>
      </c>
      <c r="F11" s="115">
        <f>事業収支!J36</f>
        <v>0</v>
      </c>
      <c r="G11" s="115">
        <f>事業収支!O36</f>
        <v>0</v>
      </c>
      <c r="H11" s="115">
        <f>事業収支!P36</f>
        <v>0</v>
      </c>
      <c r="I11" s="115">
        <f>事業収支!T36</f>
        <v>0</v>
      </c>
      <c r="J11" s="115">
        <f>事業収支!U36</f>
        <v>0</v>
      </c>
      <c r="K11" s="115">
        <f>事業収支!Y36</f>
        <v>0</v>
      </c>
      <c r="L11" s="115">
        <f>事業収支!AD36</f>
        <v>0</v>
      </c>
      <c r="M11" s="115">
        <f>事業収支!AE36</f>
        <v>0</v>
      </c>
    </row>
    <row r="12" spans="2:13" ht="17.25" customHeight="1">
      <c r="B12" s="167"/>
      <c r="C12" s="109" t="s">
        <v>73</v>
      </c>
      <c r="D12" s="113"/>
      <c r="E12" s="115">
        <f>事業収支!F37</f>
        <v>0</v>
      </c>
      <c r="F12" s="115">
        <f>事業収支!J37</f>
        <v>0</v>
      </c>
      <c r="G12" s="115">
        <f>事業収支!O37</f>
        <v>0</v>
      </c>
      <c r="H12" s="115">
        <f>事業収支!P37</f>
        <v>0</v>
      </c>
      <c r="I12" s="115">
        <f>事業収支!T37</f>
        <v>0</v>
      </c>
      <c r="J12" s="115">
        <f>事業収支!U37</f>
        <v>0</v>
      </c>
      <c r="K12" s="115">
        <f>事業収支!Y37</f>
        <v>0</v>
      </c>
      <c r="L12" s="115">
        <f>事業収支!AD37</f>
        <v>0</v>
      </c>
      <c r="M12" s="115">
        <f>事業収支!AE37</f>
        <v>0</v>
      </c>
    </row>
    <row r="13" spans="2:13" ht="17.25" customHeight="1">
      <c r="B13" s="758" t="s">
        <v>17</v>
      </c>
      <c r="C13" s="759"/>
      <c r="D13" s="168"/>
      <c r="E13" s="168">
        <f>事業収支!F38</f>
        <v>44392502.359841175</v>
      </c>
      <c r="F13" s="168">
        <f>事業収支!J38</f>
        <v>39531189.444104359</v>
      </c>
      <c r="G13" s="168">
        <f>事業収支!O38</f>
        <v>7322030.0925108492</v>
      </c>
      <c r="H13" s="168">
        <f>事業収支!P38</f>
        <v>6962566.5800807709</v>
      </c>
      <c r="I13" s="168">
        <f>事業収支!T38</f>
        <v>6503103.049388526</v>
      </c>
      <c r="J13" s="168">
        <f>事業収支!U38</f>
        <v>6422243.271434987</v>
      </c>
      <c r="K13" s="168">
        <f>事業収支!Y38</f>
        <v>6739695.3242129618</v>
      </c>
      <c r="L13" s="168">
        <f>事業収支!AD38</f>
        <v>4130259.8258399996</v>
      </c>
      <c r="M13" s="169">
        <f>事業収支!AE38</f>
        <v>422734121.54877394</v>
      </c>
    </row>
    <row r="14" spans="2:13" ht="17.25" customHeight="1">
      <c r="B14" s="170"/>
      <c r="C14" s="94" t="str">
        <f>事業収支!C39</f>
        <v>発電データ計測コスト</v>
      </c>
      <c r="D14" s="113"/>
      <c r="E14" s="115">
        <f>事業収支!F39</f>
        <v>174000</v>
      </c>
      <c r="F14" s="115">
        <f>事業収支!J39</f>
        <v>174000</v>
      </c>
      <c r="G14" s="115">
        <f>事業収支!O39</f>
        <v>174000</v>
      </c>
      <c r="H14" s="115">
        <f>事業収支!P39</f>
        <v>174000</v>
      </c>
      <c r="I14" s="115">
        <f>事業収支!T39</f>
        <v>174000</v>
      </c>
      <c r="J14" s="115">
        <f>事業収支!U39</f>
        <v>174000</v>
      </c>
      <c r="K14" s="115">
        <f>事業収支!Y39</f>
        <v>174000</v>
      </c>
      <c r="L14" s="115">
        <f>事業収支!AD39</f>
        <v>174000</v>
      </c>
      <c r="M14" s="115">
        <f>事業収支!AE39</f>
        <v>4350000</v>
      </c>
    </row>
    <row r="15" spans="2:13" ht="17.25" customHeight="1">
      <c r="B15" s="170"/>
      <c r="C15" s="94" t="str">
        <f>事業収支!C40</f>
        <v>元本返済額</v>
      </c>
      <c r="D15" s="113"/>
      <c r="E15" s="115">
        <f>事業収支!F40</f>
        <v>28466467.775000002</v>
      </c>
      <c r="F15" s="115">
        <f>事業収支!J40</f>
        <v>28466467.775000002</v>
      </c>
      <c r="G15" s="115">
        <f>事業収支!O40</f>
        <v>0</v>
      </c>
      <c r="H15" s="115">
        <f>事業収支!P40</f>
        <v>0</v>
      </c>
      <c r="I15" s="115">
        <f>事業収支!T40</f>
        <v>0</v>
      </c>
      <c r="J15" s="115">
        <f>事業収支!U40</f>
        <v>0</v>
      </c>
      <c r="K15" s="115">
        <f>事業収支!Y40</f>
        <v>0</v>
      </c>
      <c r="L15" s="115">
        <f>事業収支!AD40</f>
        <v>0</v>
      </c>
      <c r="M15" s="115">
        <f>事業収支!AE40</f>
        <v>227731742.20000002</v>
      </c>
    </row>
    <row r="16" spans="2:13" ht="17.25" customHeight="1">
      <c r="B16" s="170"/>
      <c r="C16" s="94" t="str">
        <f>事業収支!C41</f>
        <v>金利支払い額</v>
      </c>
      <c r="D16" s="113"/>
      <c r="E16" s="115">
        <f>事業収支!F41</f>
        <v>5796484.500684374</v>
      </c>
      <c r="F16" s="115">
        <f>事業収支!J41</f>
        <v>2722105.9809843693</v>
      </c>
      <c r="G16" s="115">
        <f>事業収支!O41</f>
        <v>-3.7970021367073059E-9</v>
      </c>
      <c r="H16" s="115">
        <f>事業収支!P41</f>
        <v>-3.7970021367073059E-9</v>
      </c>
      <c r="I16" s="115">
        <f>事業収支!T41</f>
        <v>-3.7970021367073059E-9</v>
      </c>
      <c r="J16" s="115">
        <f>事業収支!U41</f>
        <v>0</v>
      </c>
      <c r="K16" s="115">
        <f>事業収支!Y41</f>
        <v>0</v>
      </c>
      <c r="L16" s="115">
        <f>事業収支!AD41</f>
        <v>0</v>
      </c>
      <c r="M16" s="115">
        <f>事業収支!AE41</f>
        <v>24851226.367574938</v>
      </c>
    </row>
    <row r="17" spans="2:13" ht="17.25" customHeight="1">
      <c r="B17" s="170"/>
      <c r="C17" s="94" t="e">
        <f>事業収支!#REF!</f>
        <v>#REF!</v>
      </c>
      <c r="D17" s="113"/>
      <c r="E17" s="115" t="e">
        <f>事業収支!#REF!</f>
        <v>#REF!</v>
      </c>
      <c r="F17" s="115" t="e">
        <f>事業収支!#REF!</f>
        <v>#REF!</v>
      </c>
      <c r="G17" s="115" t="e">
        <f>事業収支!#REF!</f>
        <v>#REF!</v>
      </c>
      <c r="H17" s="115" t="e">
        <f>事業収支!#REF!</f>
        <v>#REF!</v>
      </c>
      <c r="I17" s="115" t="e">
        <f>事業収支!#REF!</f>
        <v>#REF!</v>
      </c>
      <c r="J17" s="115" t="e">
        <f>事業収支!#REF!</f>
        <v>#REF!</v>
      </c>
      <c r="K17" s="115" t="e">
        <f>事業収支!#REF!</f>
        <v>#REF!</v>
      </c>
      <c r="L17" s="115" t="e">
        <f>事業収支!#REF!</f>
        <v>#REF!</v>
      </c>
      <c r="M17" s="115" t="e">
        <f>事業収支!#REF!</f>
        <v>#REF!</v>
      </c>
    </row>
    <row r="18" spans="2:13" ht="17.25" customHeight="1">
      <c r="B18" s="170"/>
      <c r="C18" s="94" t="e">
        <f>事業収支!#REF!</f>
        <v>#REF!</v>
      </c>
      <c r="D18" s="113"/>
      <c r="E18" s="115" t="e">
        <f>事業収支!#REF!</f>
        <v>#REF!</v>
      </c>
      <c r="F18" s="115" t="e">
        <f>事業収支!#REF!</f>
        <v>#REF!</v>
      </c>
      <c r="G18" s="115" t="e">
        <f>事業収支!#REF!</f>
        <v>#REF!</v>
      </c>
      <c r="H18" s="115" t="e">
        <f>事業収支!#REF!</f>
        <v>#REF!</v>
      </c>
      <c r="I18" s="115" t="e">
        <f>事業収支!#REF!</f>
        <v>#REF!</v>
      </c>
      <c r="J18" s="115" t="e">
        <f>事業収支!#REF!</f>
        <v>#REF!</v>
      </c>
      <c r="K18" s="115" t="e">
        <f>事業収支!#REF!</f>
        <v>#REF!</v>
      </c>
      <c r="L18" s="115" t="e">
        <f>事業収支!#REF!</f>
        <v>#REF!</v>
      </c>
      <c r="M18" s="115" t="e">
        <f>事業収支!#REF!</f>
        <v>#REF!</v>
      </c>
    </row>
    <row r="19" spans="2:13" ht="17.25" customHeight="1">
      <c r="B19" s="170"/>
      <c r="C19" s="94" t="str">
        <f>事業収支!C42</f>
        <v>修繕・部品交換代</v>
      </c>
      <c r="D19" s="113"/>
      <c r="E19" s="115">
        <f>事業収支!F42</f>
        <v>1483883.8</v>
      </c>
      <c r="F19" s="115">
        <f>事業収支!J42</f>
        <v>1483883.8</v>
      </c>
      <c r="G19" s="115">
        <f>事業収支!O42</f>
        <v>1483883.8</v>
      </c>
      <c r="H19" s="115">
        <f>事業収支!P42</f>
        <v>1483883.8</v>
      </c>
      <c r="I19" s="115">
        <f>事業収支!T42</f>
        <v>1483883.8</v>
      </c>
      <c r="J19" s="115">
        <f>事業収支!U42</f>
        <v>1483883.8</v>
      </c>
      <c r="K19" s="115">
        <f>事業収支!Y42</f>
        <v>0</v>
      </c>
      <c r="L19" s="115">
        <f>事業収支!AD42</f>
        <v>0</v>
      </c>
      <c r="M19" s="115">
        <f>事業収支!AE42</f>
        <v>28193792.20000001</v>
      </c>
    </row>
    <row r="20" spans="2:13" ht="17.25" customHeight="1">
      <c r="B20" s="170"/>
      <c r="C20" s="94" t="str">
        <f>事業収支!C44</f>
        <v>機械設備償却資産税</v>
      </c>
      <c r="D20" s="113"/>
      <c r="E20" s="115">
        <f>事業収支!F44</f>
        <v>4263138.1997568002</v>
      </c>
      <c r="F20" s="115">
        <f>事業収支!J44</f>
        <v>2476203.8037199895</v>
      </c>
      <c r="G20" s="115">
        <f>事業収支!O44</f>
        <v>1255618.2081108533</v>
      </c>
      <c r="H20" s="115">
        <f>事業収支!P44</f>
        <v>1096154.695680775</v>
      </c>
      <c r="I20" s="115">
        <f>事業収支!T44</f>
        <v>636691.16498853022</v>
      </c>
      <c r="J20" s="115">
        <f>事業収支!U44</f>
        <v>555831.38703498687</v>
      </c>
      <c r="K20" s="115">
        <f>事業収支!Y44</f>
        <v>322849.44337049854</v>
      </c>
      <c r="L20" s="115">
        <f>事業収支!AD44</f>
        <v>227731.74144000001</v>
      </c>
      <c r="M20" s="115">
        <f>事業収支!AE44</f>
        <v>32559840.874756634</v>
      </c>
    </row>
    <row r="21" spans="2:13" ht="17.25" customHeight="1">
      <c r="B21" s="170"/>
      <c r="C21" s="94" t="str">
        <f>事業収支!C46</f>
        <v>保険料（損保＆賠償）</v>
      </c>
      <c r="D21" s="113"/>
      <c r="E21" s="115">
        <f>事業収支!F46</f>
        <v>2656064.6747999997</v>
      </c>
      <c r="F21" s="115">
        <f>事業収支!J46</f>
        <v>2656064.6747999997</v>
      </c>
      <c r="G21" s="115">
        <f>事業収支!O46</f>
        <v>2656064.6747999997</v>
      </c>
      <c r="H21" s="115">
        <f>事業収支!P46</f>
        <v>2656064.6747999997</v>
      </c>
      <c r="I21" s="115">
        <f>事業収支!T46</f>
        <v>2656064.6747999997</v>
      </c>
      <c r="J21" s="115">
        <f>事業収支!U46</f>
        <v>2656064.6747999997</v>
      </c>
      <c r="K21" s="115">
        <f>事業収支!Y46</f>
        <v>2656064.6747999997</v>
      </c>
      <c r="L21" s="115">
        <f>事業収支!AD46</f>
        <v>2656064.6747999997</v>
      </c>
      <c r="M21" s="115">
        <f>事業収支!AE46</f>
        <v>66401616.870000012</v>
      </c>
    </row>
    <row r="22" spans="2:13" ht="17.25" customHeight="1">
      <c r="B22" s="170"/>
      <c r="C22" s="94" t="str">
        <f>事業収支!C47</f>
        <v>電気主任技術者点検費用</v>
      </c>
      <c r="D22" s="113"/>
      <c r="E22" s="115">
        <f>事業収支!F47</f>
        <v>600000</v>
      </c>
      <c r="F22" s="115">
        <f>事業収支!J47</f>
        <v>600000</v>
      </c>
      <c r="G22" s="115">
        <f>事業収支!O47</f>
        <v>600000</v>
      </c>
      <c r="H22" s="115">
        <f>事業収支!P47</f>
        <v>600000</v>
      </c>
      <c r="I22" s="115">
        <f>事業収支!T47</f>
        <v>600000</v>
      </c>
      <c r="J22" s="115">
        <f>事業収支!U47</f>
        <v>600000</v>
      </c>
      <c r="K22" s="115">
        <f>事業収支!Y47</f>
        <v>600000</v>
      </c>
      <c r="L22" s="115">
        <f>事業収支!AD47</f>
        <v>600000</v>
      </c>
      <c r="M22" s="115">
        <f>事業収支!AE47</f>
        <v>15000000</v>
      </c>
    </row>
    <row r="23" spans="2:13" ht="17.25" customHeight="1">
      <c r="B23" s="170"/>
      <c r="C23" s="94" t="str">
        <f>事業収支!C48</f>
        <v>設備管理費</v>
      </c>
      <c r="D23" s="171" t="s">
        <v>121</v>
      </c>
      <c r="E23" s="115">
        <f>事業収支!F48</f>
        <v>480000</v>
      </c>
      <c r="F23" s="115">
        <f>事業収支!J48</f>
        <v>480000</v>
      </c>
      <c r="G23" s="115">
        <f>事業収支!O48</f>
        <v>480000</v>
      </c>
      <c r="H23" s="115">
        <f>事業収支!P48</f>
        <v>480000</v>
      </c>
      <c r="I23" s="115">
        <f>事業収支!T48</f>
        <v>480000</v>
      </c>
      <c r="J23" s="115">
        <f>事業収支!U48</f>
        <v>480000</v>
      </c>
      <c r="K23" s="115">
        <f>事業収支!Y48</f>
        <v>480000</v>
      </c>
      <c r="L23" s="115">
        <f>事業収支!AD48</f>
        <v>0</v>
      </c>
      <c r="M23" s="115">
        <f>事業収支!AE48</f>
        <v>9600000</v>
      </c>
    </row>
    <row r="24" spans="2:13" ht="17.25" customHeight="1">
      <c r="B24" s="170"/>
      <c r="C24" s="94" t="str">
        <f>事業収支!C49</f>
        <v>20年後の現状復帰費用積み立て</v>
      </c>
      <c r="D24" s="95">
        <f>事業収支!D21</f>
        <v>0</v>
      </c>
      <c r="E24" s="115">
        <f>事業収支!F49</f>
        <v>0</v>
      </c>
      <c r="F24" s="115">
        <f>事業収支!J49</f>
        <v>0</v>
      </c>
      <c r="G24" s="115">
        <f>事業収支!O49</f>
        <v>0</v>
      </c>
      <c r="H24" s="115">
        <f>事業収支!P49</f>
        <v>0</v>
      </c>
      <c r="I24" s="115">
        <f>事業収支!T49</f>
        <v>0</v>
      </c>
      <c r="J24" s="115">
        <f>事業収支!U49</f>
        <v>0</v>
      </c>
      <c r="K24" s="115">
        <f>事業収支!Y49</f>
        <v>2034317.7964424628</v>
      </c>
      <c r="L24" s="115">
        <f>事業収支!AD49</f>
        <v>0</v>
      </c>
      <c r="M24" s="115">
        <f>事業収支!AE49</f>
        <v>2034317.7964424628</v>
      </c>
    </row>
    <row r="25" spans="2:13" ht="17.25" customHeight="1">
      <c r="B25" s="170"/>
      <c r="C25" s="94" t="str">
        <f>事業収支!C50</f>
        <v>売電メーターの交換</v>
      </c>
      <c r="D25" s="113"/>
      <c r="E25" s="115">
        <f>事業収支!F50</f>
        <v>0</v>
      </c>
      <c r="F25" s="115">
        <f>事業収支!J50</f>
        <v>0</v>
      </c>
      <c r="G25" s="115">
        <f>事業収支!O50</f>
        <v>200000</v>
      </c>
      <c r="H25" s="115">
        <f>事業収支!P50</f>
        <v>0</v>
      </c>
      <c r="I25" s="115">
        <f>事業収支!T50</f>
        <v>0</v>
      </c>
      <c r="J25" s="115">
        <f>事業収支!U50</f>
        <v>0</v>
      </c>
      <c r="K25" s="115">
        <f>事業収支!Y50</f>
        <v>0</v>
      </c>
      <c r="L25" s="115">
        <f>事業収支!AD50</f>
        <v>0</v>
      </c>
      <c r="M25" s="115">
        <f>事業収支!AE50</f>
        <v>200000</v>
      </c>
    </row>
    <row r="26" spans="2:13" ht="17.25" customHeight="1">
      <c r="B26" s="170"/>
      <c r="C26" s="94" t="str">
        <f>事業収支!C51</f>
        <v>会計費用</v>
      </c>
      <c r="D26" s="113"/>
      <c r="E26" s="115">
        <f>事業収支!F51</f>
        <v>0</v>
      </c>
      <c r="F26" s="115">
        <f>事業収支!J51</f>
        <v>0</v>
      </c>
      <c r="G26" s="115">
        <f>事業収支!O51</f>
        <v>0</v>
      </c>
      <c r="H26" s="115">
        <f>事業収支!P51</f>
        <v>0</v>
      </c>
      <c r="I26" s="115">
        <f>事業収支!T51</f>
        <v>0</v>
      </c>
      <c r="J26" s="115">
        <f>事業収支!U51</f>
        <v>0</v>
      </c>
      <c r="K26" s="115">
        <f>事業収支!Y51</f>
        <v>0</v>
      </c>
      <c r="L26" s="115">
        <f>事業収支!AD51</f>
        <v>0</v>
      </c>
      <c r="M26" s="115">
        <f>事業収支!AE51</f>
        <v>0</v>
      </c>
    </row>
    <row r="27" spans="2:13" ht="17.25" customHeight="1">
      <c r="B27" s="760" t="s">
        <v>89</v>
      </c>
      <c r="C27" s="761"/>
      <c r="D27" s="172"/>
      <c r="E27" s="172">
        <f>事業収支!F52</f>
        <v>-3074028.8214519322</v>
      </c>
      <c r="F27" s="172">
        <f>事業収支!J52</f>
        <v>967091.76113513112</v>
      </c>
      <c r="G27" s="172">
        <f>事業収支!O52</f>
        <v>32173868.156478032</v>
      </c>
      <c r="H27" s="172">
        <f>事業収支!P52</f>
        <v>32335852.17766317</v>
      </c>
      <c r="I27" s="172">
        <f>事業収支!T52</f>
        <v>32015222.471366316</v>
      </c>
      <c r="J27" s="172">
        <f>事業収支!U52</f>
        <v>31903490.621716082</v>
      </c>
      <c r="K27" s="172">
        <f>事業収支!Y52</f>
        <v>30825253.612245686</v>
      </c>
      <c r="L27" s="111">
        <f>事業収支!AD52</f>
        <v>32504909.785528202</v>
      </c>
      <c r="M27" s="112">
        <f>事業収支!AE52</f>
        <v>550561833.4667989</v>
      </c>
    </row>
    <row r="28" spans="2:13" ht="17.25" customHeight="1">
      <c r="B28" s="751" t="s">
        <v>91</v>
      </c>
      <c r="C28" s="752"/>
      <c r="D28" s="113"/>
      <c r="E28" s="115">
        <f>事業収支!F53</f>
        <v>-3074028.8214519322</v>
      </c>
      <c r="F28" s="115">
        <f>事業収支!J53</f>
        <v>-4970680.0447954088</v>
      </c>
      <c r="G28" s="115">
        <f>事業収支!O53</f>
        <v>67626990.732635736</v>
      </c>
      <c r="H28" s="115">
        <f>事業収支!P53</f>
        <v>99962842.910298914</v>
      </c>
      <c r="I28" s="115">
        <f>事業収支!T53</f>
        <v>228577389.98790202</v>
      </c>
      <c r="J28" s="115">
        <f>事業収支!U53</f>
        <v>260480880.6096181</v>
      </c>
      <c r="K28" s="115">
        <f>事業収支!Y53</f>
        <v>386259483.90760887</v>
      </c>
      <c r="L28" s="115">
        <f>事業収支!AD53</f>
        <v>550561833.4667989</v>
      </c>
      <c r="M28" s="173">
        <f>L28</f>
        <v>550561833.4667989</v>
      </c>
    </row>
    <row r="29" spans="2:13" ht="17.25" customHeight="1">
      <c r="B29" s="751" t="s">
        <v>12</v>
      </c>
      <c r="C29" s="752"/>
      <c r="D29" s="113"/>
      <c r="E29" s="115">
        <f>事業収支!F54</f>
        <v>2048297.4751547507</v>
      </c>
      <c r="F29" s="115">
        <f>事業収支!J54</f>
        <v>3199261.3931624512</v>
      </c>
      <c r="G29" s="115">
        <f>事業収支!O54</f>
        <v>3898040.091349897</v>
      </c>
      <c r="H29" s="115">
        <f>事業収支!P54</f>
        <v>3939346.0167521089</v>
      </c>
      <c r="I29" s="115">
        <f>事業収支!T54</f>
        <v>3857585.4416464129</v>
      </c>
      <c r="J29" s="115">
        <f>事業収支!U54</f>
        <v>3829093.8199856007</v>
      </c>
      <c r="K29" s="115">
        <f>事業収支!Y54</f>
        <v>7980917.8405706501</v>
      </c>
      <c r="L29" s="115">
        <f>事業収支!AD54</f>
        <v>8409230.1647576913</v>
      </c>
      <c r="M29" s="115">
        <f>事業収支!AE54</f>
        <v>126101172.0757857</v>
      </c>
    </row>
    <row r="30" spans="2:13" ht="17.25" customHeight="1">
      <c r="B30" s="753" t="s">
        <v>90</v>
      </c>
      <c r="C30" s="754"/>
      <c r="D30" s="113"/>
      <c r="E30" s="115">
        <f>事業収支!F58</f>
        <v>-5967951.8522808645</v>
      </c>
      <c r="F30" s="115">
        <f>事業収支!J58</f>
        <v>-3552962.7424789947</v>
      </c>
      <c r="G30" s="115">
        <f>事業収支!O58</f>
        <v>26666548.964669861</v>
      </c>
      <c r="H30" s="115">
        <f>事業収支!P58</f>
        <v>26770174.19262252</v>
      </c>
      <c r="I30" s="115">
        <f>事業収支!T58</f>
        <v>26565059.353761762</v>
      </c>
      <c r="J30" s="115">
        <f>事業収支!U58</f>
        <v>26493581.69624427</v>
      </c>
      <c r="K30" s="115">
        <f>事業収支!Y58</f>
        <v>19549468.61220023</v>
      </c>
      <c r="L30" s="115">
        <f>事業収支!AD58</f>
        <v>20623986.657653388</v>
      </c>
      <c r="M30" s="115">
        <f>事業収支!AE58</f>
        <v>372400657.89972562</v>
      </c>
    </row>
    <row r="31" spans="2:13" ht="17.25" customHeight="1">
      <c r="B31" s="751" t="s">
        <v>92</v>
      </c>
      <c r="C31" s="752"/>
      <c r="D31" s="113"/>
      <c r="E31" s="115">
        <f>事業収支!F59</f>
        <v>-5967951.8522808645</v>
      </c>
      <c r="F31" s="115">
        <f>事業収支!J59</f>
        <v>-23867829.133618958</v>
      </c>
      <c r="G31" s="115">
        <f>事業収支!O59</f>
        <v>22228051.562893607</v>
      </c>
      <c r="H31" s="115">
        <f>事業収支!P59</f>
        <v>48998225.755516127</v>
      </c>
      <c r="I31" s="115">
        <f>事業収支!T59</f>
        <v>155612651.51780355</v>
      </c>
      <c r="J31" s="115">
        <f>事業収支!U59</f>
        <v>182106233.21404782</v>
      </c>
      <c r="K31" s="115">
        <f>事業収支!Y59</f>
        <v>268143421.10244095</v>
      </c>
      <c r="L31" s="115">
        <f>事業収支!AD59</f>
        <v>372400657.89972562</v>
      </c>
      <c r="M31" s="115">
        <f>事業収支!AE59</f>
        <v>372400657.89972562</v>
      </c>
    </row>
    <row r="32" spans="2:13" ht="17.25" customHeight="1">
      <c r="B32" s="745" t="s">
        <v>93</v>
      </c>
      <c r="C32" s="746"/>
      <c r="D32" s="116"/>
      <c r="E32" s="117">
        <f>事業収支!F60</f>
        <v>-3.1496417351485485E-2</v>
      </c>
      <c r="F32" s="117">
        <f>事業収支!J60</f>
        <v>9.9087964020806735E-3</v>
      </c>
      <c r="G32" s="117">
        <f>事業収支!O60</f>
        <v>0.32965259538115449</v>
      </c>
      <c r="H32" s="117">
        <f>事業収支!P60</f>
        <v>0.33131227934374963</v>
      </c>
      <c r="I32" s="117">
        <f>事業収支!T60</f>
        <v>0.32802711592096812</v>
      </c>
      <c r="J32" s="117">
        <f>事業収支!U60</f>
        <v>0.32688231436820486</v>
      </c>
      <c r="K32" s="117">
        <f>事業収支!Y60</f>
        <v>0.3158347267147954</v>
      </c>
      <c r="L32" s="117">
        <f>事業収支!AD60</f>
        <v>0.33304443908688625</v>
      </c>
      <c r="M32" s="135">
        <f>事業収支!AE60</f>
        <v>0.22564167471245677</v>
      </c>
    </row>
  </sheetData>
  <mergeCells count="16">
    <mergeCell ref="M3:M4"/>
    <mergeCell ref="B32:C32"/>
    <mergeCell ref="B8:C8"/>
    <mergeCell ref="K2:L2"/>
    <mergeCell ref="K5:L5"/>
    <mergeCell ref="B29:C29"/>
    <mergeCell ref="B30:C30"/>
    <mergeCell ref="B31:C31"/>
    <mergeCell ref="B2:C2"/>
    <mergeCell ref="B9:C9"/>
    <mergeCell ref="B13:C13"/>
    <mergeCell ref="B27:C27"/>
    <mergeCell ref="B28:C28"/>
    <mergeCell ref="K6:L6"/>
    <mergeCell ref="K3:L4"/>
    <mergeCell ref="B7:C7"/>
  </mergeCells>
  <phoneticPr fontId="9" type="noConversion"/>
  <pageMargins left="0.70866141732283472" right="0.70866141732283472" top="0.74803149606299213" bottom="0.74803149606299213" header="0.31496062992125984" footer="0.31496062992125984"/>
  <pageSetup paperSize="9" scale="8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B37"/>
  <sheetViews>
    <sheetView workbookViewId="0">
      <selection activeCell="C8" sqref="C8"/>
    </sheetView>
  </sheetViews>
  <sheetFormatPr defaultColWidth="14.6328125" defaultRowHeight="13"/>
  <cols>
    <col min="1" max="1" width="5.6328125" customWidth="1"/>
    <col min="2" max="2" width="30.1796875" customWidth="1"/>
    <col min="3" max="3" width="11.36328125" customWidth="1"/>
    <col min="4" max="7" width="10.6328125" customWidth="1"/>
    <col min="8" max="8" width="10.453125" customWidth="1"/>
    <col min="9" max="9" width="15.36328125" customWidth="1"/>
    <col min="10" max="10" width="18.453125" customWidth="1"/>
    <col min="11" max="11" width="16.453125" customWidth="1"/>
    <col min="12" max="28" width="10.453125" customWidth="1"/>
  </cols>
  <sheetData>
    <row r="1" spans="2:28" ht="13.5" thickBot="1"/>
    <row r="2" spans="2:28" ht="20.25" customHeight="1" thickTop="1" thickBot="1">
      <c r="B2" s="767" t="s">
        <v>141</v>
      </c>
      <c r="C2" s="768"/>
      <c r="D2" s="161" t="s">
        <v>135</v>
      </c>
      <c r="E2" s="162">
        <f>事業収支!D3</f>
        <v>2002</v>
      </c>
    </row>
    <row r="3" spans="2:28" ht="18" customHeight="1" thickTop="1"/>
    <row r="4" spans="2:28" ht="45" customHeight="1">
      <c r="B4" s="78" t="s">
        <v>124</v>
      </c>
      <c r="C4" s="79" t="s">
        <v>27</v>
      </c>
      <c r="D4" s="80" t="s">
        <v>125</v>
      </c>
      <c r="E4" s="80" t="s">
        <v>126</v>
      </c>
    </row>
    <row r="5" spans="2:28" ht="24.75" customHeight="1">
      <c r="B5" s="90">
        <f>初期条件!D67</f>
        <v>18</v>
      </c>
      <c r="C5" s="81">
        <f>初期条件!D17</f>
        <v>25</v>
      </c>
      <c r="D5" s="82">
        <f>初期条件!D67</f>
        <v>18</v>
      </c>
      <c r="E5" s="91">
        <f>初期条件!D14</f>
        <v>5.0000000000000001E-3</v>
      </c>
    </row>
    <row r="6" spans="2:28" ht="13.5" thickBot="1"/>
    <row r="7" spans="2:28" ht="23.25" customHeight="1" thickTop="1">
      <c r="B7" s="83"/>
      <c r="C7" s="84">
        <v>1</v>
      </c>
      <c r="D7" s="84">
        <v>2</v>
      </c>
      <c r="E7" s="84">
        <v>3</v>
      </c>
      <c r="F7" s="84">
        <v>4</v>
      </c>
      <c r="G7" s="97">
        <v>5</v>
      </c>
    </row>
    <row r="8" spans="2:28" ht="23.25" customHeight="1">
      <c r="B8" s="85" t="s">
        <v>72</v>
      </c>
      <c r="C8" s="98">
        <f>初期条件!D12*初期条件!D13*(1-$E$5/100)^(C$7-1)</f>
        <v>2295470.7521327357</v>
      </c>
      <c r="D8" s="98">
        <f>C8*(1-$E$5)</f>
        <v>2283993.3983720718</v>
      </c>
      <c r="E8" s="98">
        <f>D8*(1-$E$5)</f>
        <v>2272573.4313802114</v>
      </c>
      <c r="F8" s="98">
        <f>E8*(1-$E$5)</f>
        <v>2261210.5642233104</v>
      </c>
      <c r="G8" s="99">
        <f>F8*(1-$E$5)</f>
        <v>2249904.5114021939</v>
      </c>
    </row>
    <row r="9" spans="2:28" ht="23.25" customHeight="1">
      <c r="B9" s="100" t="s">
        <v>127</v>
      </c>
      <c r="C9" s="101">
        <f>$B$5*(1+初期条件!$D$69)^(C$7-1)</f>
        <v>18</v>
      </c>
      <c r="D9" s="101">
        <f>$B$5*(1+初期条件!$D$69)^(D$7-1)</f>
        <v>18.27</v>
      </c>
      <c r="E9" s="101">
        <f>$B$5*(1+初期条件!$D$69)^(E$7-1)</f>
        <v>18.544049999999995</v>
      </c>
      <c r="F9" s="101">
        <f>$B$5*(1+初期条件!$D$69)^(F$7-1)</f>
        <v>18.822210749999993</v>
      </c>
      <c r="G9" s="106">
        <f>$B$5*(1+初期条件!$D$69)^(G$7-1)</f>
        <v>19.104543911249991</v>
      </c>
    </row>
    <row r="10" spans="2:28" ht="23.25" customHeight="1">
      <c r="B10" s="100" t="s">
        <v>128</v>
      </c>
      <c r="C10" s="102">
        <f>IF(C7&lt;=$C$5,$D$5,C9)</f>
        <v>18</v>
      </c>
      <c r="D10" s="102">
        <f>IF(D7&lt;=$C$5,$D$5,D9)</f>
        <v>18</v>
      </c>
      <c r="E10" s="102">
        <f>IF(E7&lt;=$C$5,$D$5,E9)</f>
        <v>18</v>
      </c>
      <c r="F10" s="102">
        <f>IF(F7&lt;=$C$5,$D$5,F9)</f>
        <v>18</v>
      </c>
      <c r="G10" s="88">
        <f>IF(G7&lt;=$C$5,$D$5,G9)</f>
        <v>18</v>
      </c>
    </row>
    <row r="11" spans="2:28" ht="23.25" customHeight="1" thickBot="1">
      <c r="B11" s="155" t="s">
        <v>75</v>
      </c>
      <c r="C11" s="150">
        <f>C8*C10</f>
        <v>41318473.538389243</v>
      </c>
      <c r="D11" s="150">
        <f>D8*D10</f>
        <v>41111881.170697294</v>
      </c>
      <c r="E11" s="150">
        <f>E8*E10</f>
        <v>40906321.764843807</v>
      </c>
      <c r="F11" s="150">
        <f>F8*F10</f>
        <v>40701790.156019591</v>
      </c>
      <c r="G11" s="156">
        <f>G8*G10</f>
        <v>40498281.20523949</v>
      </c>
    </row>
    <row r="12" spans="2:28" ht="23.25" customHeight="1">
      <c r="B12" s="146"/>
      <c r="C12" s="147">
        <v>6</v>
      </c>
      <c r="D12" s="147">
        <v>7</v>
      </c>
      <c r="E12" s="147">
        <v>8</v>
      </c>
      <c r="F12" s="147">
        <v>9</v>
      </c>
      <c r="G12" s="148">
        <v>10</v>
      </c>
      <c r="V12" s="2"/>
      <c r="W12" s="2"/>
      <c r="X12" s="2"/>
      <c r="Y12" s="2"/>
      <c r="Z12" s="2"/>
      <c r="AA12" s="2"/>
      <c r="AB12" s="2"/>
    </row>
    <row r="13" spans="2:28" ht="23.25" customHeight="1">
      <c r="B13" s="85" t="s">
        <v>72</v>
      </c>
      <c r="C13" s="98">
        <f>G8*(1-$E$5)</f>
        <v>2238654.988845183</v>
      </c>
      <c r="D13" s="98">
        <f>C13*(1-$E$5)</f>
        <v>2227461.7139009573</v>
      </c>
      <c r="E13" s="98">
        <f>D13*(1-$E$5)</f>
        <v>2216324.4053314524</v>
      </c>
      <c r="F13" s="98">
        <f>E13*(1-$E$5)</f>
        <v>2205242.7833047952</v>
      </c>
      <c r="G13" s="99">
        <f>F13*(1-$E$5)</f>
        <v>2194216.5693882713</v>
      </c>
    </row>
    <row r="14" spans="2:28" ht="23.25" customHeight="1">
      <c r="B14" s="100" t="s">
        <v>127</v>
      </c>
      <c r="C14" s="101">
        <f>$B$5*(1+初期条件!$D$69)^(C$12-1)</f>
        <v>19.391112069918737</v>
      </c>
      <c r="D14" s="101">
        <f>$B$5*(1+初期条件!$D$69)^(D$12-1)</f>
        <v>19.681978750967513</v>
      </c>
      <c r="E14" s="101">
        <f>$B$5*(1+初期条件!$D$69)^(E$12-1)</f>
        <v>19.977208432232025</v>
      </c>
      <c r="F14" s="101">
        <f>$B$5*(1+初期条件!$D$69)^(F$12-1)</f>
        <v>20.276866558715504</v>
      </c>
      <c r="G14" s="106">
        <f>$B$5*(1+初期条件!$D$69)^(G$12-1)</f>
        <v>20.581019557096234</v>
      </c>
    </row>
    <row r="15" spans="2:28" ht="23.25" customHeight="1">
      <c r="B15" s="100" t="s">
        <v>128</v>
      </c>
      <c r="C15" s="102">
        <f>IF(C12&lt;=$C$5,$D$5,C14)</f>
        <v>18</v>
      </c>
      <c r="D15" s="102">
        <f>IF(D12&lt;=$C$5,$D$5,D14)</f>
        <v>18</v>
      </c>
      <c r="E15" s="102">
        <f>IF(E12&lt;=$C$5,$D$5,E14)</f>
        <v>18</v>
      </c>
      <c r="F15" s="102">
        <f>IF(F12&lt;=$C$5,$D$5,F14)</f>
        <v>18</v>
      </c>
      <c r="G15" s="88">
        <f>IF(G12&lt;=$C$5,$D$5,G14)</f>
        <v>18</v>
      </c>
    </row>
    <row r="16" spans="2:28" ht="23.25" customHeight="1" thickBot="1">
      <c r="B16" s="157" t="s">
        <v>75</v>
      </c>
      <c r="C16" s="154">
        <f>C13*C15</f>
        <v>40295789.799213298</v>
      </c>
      <c r="D16" s="154">
        <f>D13*D15</f>
        <v>40094310.850217231</v>
      </c>
      <c r="E16" s="154">
        <f>E13*E15</f>
        <v>39893839.295966141</v>
      </c>
      <c r="F16" s="154">
        <f>F13*F15</f>
        <v>39694370.099486314</v>
      </c>
      <c r="G16" s="158">
        <f>G13*G15</f>
        <v>39495898.248988882</v>
      </c>
    </row>
    <row r="17" spans="2:11" ht="23.25" customHeight="1">
      <c r="B17" s="159"/>
      <c r="C17" s="149">
        <v>11</v>
      </c>
      <c r="D17" s="149">
        <v>12</v>
      </c>
      <c r="E17" s="149">
        <v>13</v>
      </c>
      <c r="F17" s="149">
        <v>14</v>
      </c>
      <c r="G17" s="160">
        <v>15</v>
      </c>
    </row>
    <row r="18" spans="2:11" ht="23.25" customHeight="1">
      <c r="B18" s="85" t="s">
        <v>72</v>
      </c>
      <c r="C18" s="98">
        <f>G13*(1-$E$5)</f>
        <v>2183245.4865413299</v>
      </c>
      <c r="D18" s="98">
        <f>C18*(1-$E$5)</f>
        <v>2172329.259108623</v>
      </c>
      <c r="E18" s="98">
        <f>D18*(1-$E$5)</f>
        <v>2161467.6128130797</v>
      </c>
      <c r="F18" s="98">
        <f>E18*(1-$E$5)</f>
        <v>2150660.2747490145</v>
      </c>
      <c r="G18" s="99">
        <f>F18*(1-$E$5)</f>
        <v>2139906.9733752692</v>
      </c>
    </row>
    <row r="19" spans="2:11" ht="23.25" customHeight="1">
      <c r="B19" s="100" t="s">
        <v>127</v>
      </c>
      <c r="C19" s="101">
        <f>$B$5*(1+初期条件!$D$69)^(C$17-1)</f>
        <v>20.889734850452673</v>
      </c>
      <c r="D19" s="101">
        <f>$B$5*(1+初期条件!$D$69)^(D$17-1)</f>
        <v>21.203080873209462</v>
      </c>
      <c r="E19" s="101">
        <f>$B$5*(1+初期条件!$D$69)^(E$17-1)</f>
        <v>21.521127086307597</v>
      </c>
      <c r="F19" s="101">
        <f>$B$5*(1+初期条件!$D$69)^(F$17-1)</f>
        <v>21.843943992602213</v>
      </c>
      <c r="G19" s="106">
        <f>$B$5*(1+初期条件!$D$69)^(G$17-1)</f>
        <v>22.17160315249124</v>
      </c>
    </row>
    <row r="20" spans="2:11" ht="23.25" customHeight="1">
      <c r="B20" s="100" t="s">
        <v>128</v>
      </c>
      <c r="C20" s="102">
        <f>IF(C17&lt;=$C$5,$D$5,C19)</f>
        <v>18</v>
      </c>
      <c r="D20" s="102">
        <f>IF(D17&lt;=$C$5,$D$5,D19)</f>
        <v>18</v>
      </c>
      <c r="E20" s="102">
        <f>IF(E17&lt;=$C$5,$D$5,E19)</f>
        <v>18</v>
      </c>
      <c r="F20" s="102">
        <f>IF(F17&lt;=$C$5,$D$5,F19)</f>
        <v>18</v>
      </c>
      <c r="G20" s="88">
        <f>IF(G17&lt;=$C$5,$D$5,G19)</f>
        <v>18</v>
      </c>
    </row>
    <row r="21" spans="2:11" ht="23.25" customHeight="1" thickBot="1">
      <c r="B21" s="155" t="s">
        <v>75</v>
      </c>
      <c r="C21" s="150">
        <f>C18*C20</f>
        <v>39298418.75774394</v>
      </c>
      <c r="D21" s="150">
        <f>D18*D20</f>
        <v>39101926.663955212</v>
      </c>
      <c r="E21" s="150">
        <f>E18*E20</f>
        <v>38906417.030635431</v>
      </c>
      <c r="F21" s="150">
        <f>F18*F20</f>
        <v>38711884.945482261</v>
      </c>
      <c r="G21" s="156">
        <f>G18*G20</f>
        <v>38518325.520754844</v>
      </c>
    </row>
    <row r="22" spans="2:11" ht="23.25" customHeight="1">
      <c r="B22" s="146"/>
      <c r="C22" s="147">
        <v>16</v>
      </c>
      <c r="D22" s="147">
        <v>17</v>
      </c>
      <c r="E22" s="147">
        <v>18</v>
      </c>
      <c r="F22" s="147">
        <v>19</v>
      </c>
      <c r="G22" s="148">
        <v>20</v>
      </c>
    </row>
    <row r="23" spans="2:11" ht="23.25" customHeight="1">
      <c r="B23" s="85" t="s">
        <v>72</v>
      </c>
      <c r="C23" s="98">
        <f>G18*(1-$E$5)</f>
        <v>2129207.4385083928</v>
      </c>
      <c r="D23" s="98">
        <f>C23*(1-$E$5)</f>
        <v>2118561.4013158507</v>
      </c>
      <c r="E23" s="98">
        <f>D23*(1-$E$5)</f>
        <v>2107968.5943092713</v>
      </c>
      <c r="F23" s="98">
        <f>E23*(1-$E$5)</f>
        <v>2097428.7513377247</v>
      </c>
      <c r="G23" s="99">
        <f>F23*(1-$E$5)</f>
        <v>2086941.6075810362</v>
      </c>
    </row>
    <row r="24" spans="2:11" ht="23.25" customHeight="1">
      <c r="B24" s="100" t="s">
        <v>127</v>
      </c>
      <c r="C24" s="101">
        <f>$B$5*(1+初期条件!$D$69)^(C$22-1)</f>
        <v>22.504177199778603</v>
      </c>
      <c r="D24" s="101">
        <f>$B$5*(1+初期条件!$D$69)^(D$22-1)</f>
        <v>22.841739857775281</v>
      </c>
      <c r="E24" s="101">
        <f>$B$5*(1+初期条件!$D$69)^(E$22-1)</f>
        <v>23.184365955641908</v>
      </c>
      <c r="F24" s="101">
        <f>$B$5*(1+初期条件!$D$69)^(F$22-1)</f>
        <v>23.532131444976535</v>
      </c>
      <c r="G24" s="106">
        <f>$B$5*(1+初期条件!$D$69)^(G$22-1)</f>
        <v>23.88511341665118</v>
      </c>
    </row>
    <row r="25" spans="2:11" ht="23.25" customHeight="1">
      <c r="B25" s="100" t="s">
        <v>128</v>
      </c>
      <c r="C25" s="102">
        <f>IF(C22&lt;=$C$5,$D$5,C24)</f>
        <v>18</v>
      </c>
      <c r="D25" s="102">
        <f>IF(D22&lt;=$C$5,$D$5,D24)</f>
        <v>18</v>
      </c>
      <c r="E25" s="102">
        <f>IF(E22&lt;=$C$5,$D$5,E24)</f>
        <v>18</v>
      </c>
      <c r="F25" s="102">
        <f>IF(F22&lt;=$C$5,$D$5,F24)</f>
        <v>18</v>
      </c>
      <c r="G25" s="88">
        <f>IF(G22&lt;=$C$5,$D$5,G24)</f>
        <v>18</v>
      </c>
    </row>
    <row r="26" spans="2:11" ht="23.25" customHeight="1" thickBot="1">
      <c r="B26" s="157" t="s">
        <v>75</v>
      </c>
      <c r="C26" s="154">
        <f>C23*C25</f>
        <v>38325733.893151067</v>
      </c>
      <c r="D26" s="154">
        <f>D23*D25</f>
        <v>38134105.223685309</v>
      </c>
      <c r="E26" s="154">
        <f>E23*E25</f>
        <v>37943434.697566882</v>
      </c>
      <c r="F26" s="154">
        <f>F23*F25</f>
        <v>37753717.524079047</v>
      </c>
      <c r="G26" s="158">
        <f>G23*G25</f>
        <v>37564948.936458647</v>
      </c>
    </row>
    <row r="27" spans="2:11" ht="23.25" customHeight="1">
      <c r="B27" s="159"/>
      <c r="C27" s="149">
        <v>21</v>
      </c>
      <c r="D27" s="149">
        <v>22</v>
      </c>
      <c r="E27" s="149">
        <v>23</v>
      </c>
      <c r="F27" s="149">
        <v>24</v>
      </c>
      <c r="G27" s="160">
        <v>25</v>
      </c>
    </row>
    <row r="28" spans="2:11" ht="23.25" customHeight="1">
      <c r="B28" s="85" t="s">
        <v>72</v>
      </c>
      <c r="C28" s="98">
        <f>G23*(1-$E$5)</f>
        <v>2076506.899543131</v>
      </c>
      <c r="D28" s="98">
        <f>C28*(1-$E$5)</f>
        <v>2066124.3650454152</v>
      </c>
      <c r="E28" s="98">
        <f>D28*(1-$E$5)</f>
        <v>2055793.7432201882</v>
      </c>
      <c r="F28" s="98">
        <f>E28*(1-$E$5)</f>
        <v>2045514.7745040872</v>
      </c>
      <c r="G28" s="99">
        <f>F28*(1-$E$5)</f>
        <v>2035287.2006315668</v>
      </c>
      <c r="I28" s="383">
        <f>C28+D28+E28+F28+G28</f>
        <v>10279226.982944388</v>
      </c>
      <c r="J28" s="383">
        <f>D33</f>
        <v>43792770.517920777</v>
      </c>
      <c r="K28" s="383">
        <f>I28+J28</f>
        <v>54071997.500865161</v>
      </c>
    </row>
    <row r="29" spans="2:11" ht="23.25" customHeight="1">
      <c r="B29" s="100" t="s">
        <v>127</v>
      </c>
      <c r="C29" s="101">
        <f>$B$5*(1+初期条件!$D$69)^(C$27-1)</f>
        <v>24.24339011790094</v>
      </c>
      <c r="D29" s="101">
        <f>$B$5*(1+初期条件!$D$69)^(D$27-1)</f>
        <v>24.607040969669452</v>
      </c>
      <c r="E29" s="101">
        <f>$B$5*(1+初期条件!$D$69)^(E$27-1)</f>
        <v>24.97614658421449</v>
      </c>
      <c r="F29" s="101">
        <f>$B$5*(1+初期条件!$D$69)^(F$27-1)</f>
        <v>25.350788782977705</v>
      </c>
      <c r="G29" s="106">
        <f>$B$5*(1+初期条件!$D$69)^(G$27-1)</f>
        <v>25.731050614722363</v>
      </c>
    </row>
    <row r="30" spans="2:11" ht="23.25" customHeight="1">
      <c r="B30" s="100" t="s">
        <v>128</v>
      </c>
      <c r="C30" s="102">
        <f>IF(C27&lt;=$C$5,$D$5,C29)</f>
        <v>18</v>
      </c>
      <c r="D30" s="102">
        <f>IF(D27&lt;=$C$5,$D$5,D29)</f>
        <v>18</v>
      </c>
      <c r="E30" s="102">
        <f>IF(E27&lt;=$C$5,$D$5,E29)</f>
        <v>18</v>
      </c>
      <c r="F30" s="102">
        <f>IF(F27&lt;=$C$5,$D$5,F29)</f>
        <v>18</v>
      </c>
      <c r="G30" s="88">
        <f>IF(G27&lt;=$C$5,$D$5,G29)</f>
        <v>18</v>
      </c>
    </row>
    <row r="31" spans="2:11" ht="23.25" customHeight="1" thickBot="1">
      <c r="B31" s="86" t="s">
        <v>75</v>
      </c>
      <c r="C31" s="87">
        <f>C28*C30</f>
        <v>37377124.191776358</v>
      </c>
      <c r="D31" s="87">
        <f>D28*D30</f>
        <v>37190238.570817471</v>
      </c>
      <c r="E31" s="87">
        <f>E28*E30</f>
        <v>37004287.377963386</v>
      </c>
      <c r="F31" s="87">
        <f>F28*F30</f>
        <v>36819265.941073567</v>
      </c>
      <c r="G31" s="89">
        <f>G28*G30</f>
        <v>36635169.611368202</v>
      </c>
    </row>
    <row r="32" spans="2:11" ht="23.25" customHeight="1" thickTop="1">
      <c r="B32" s="107"/>
      <c r="C32" s="108" t="s">
        <v>129</v>
      </c>
      <c r="D32" t="s">
        <v>216</v>
      </c>
      <c r="G32" s="151"/>
    </row>
    <row r="33" spans="2:7" ht="23.25" customHeight="1">
      <c r="B33" s="85" t="s">
        <v>72</v>
      </c>
      <c r="C33" s="103">
        <f>SUM(C8:G8)+SUM(C13:G13)+SUM(C18:G18)+SUM(C23:G23)+SUM(C28:G28)</f>
        <v>54071997.500865161</v>
      </c>
      <c r="D33" s="103">
        <f>C33-SUM(C28:G28)</f>
        <v>43792770.517920777</v>
      </c>
      <c r="G33" s="151"/>
    </row>
    <row r="34" spans="2:7" ht="23.25" customHeight="1">
      <c r="B34" s="100" t="s">
        <v>127</v>
      </c>
      <c r="C34" s="104"/>
      <c r="G34" s="151"/>
    </row>
    <row r="35" spans="2:7" ht="23.25" customHeight="1">
      <c r="B35" s="100" t="s">
        <v>128</v>
      </c>
      <c r="C35" s="104"/>
      <c r="G35" s="151"/>
    </row>
    <row r="36" spans="2:7" ht="23.25" customHeight="1" thickBot="1">
      <c r="B36" s="86" t="s">
        <v>75</v>
      </c>
      <c r="C36" s="105">
        <f>SUM(C11:G11)+SUM(C16:G16)+SUM(C21:G21)+SUM(C26:G26)+SUM(C31:G31)</f>
        <v>973295955.01557291</v>
      </c>
      <c r="D36" s="152"/>
      <c r="E36" s="152"/>
      <c r="F36" s="152"/>
      <c r="G36" s="153"/>
    </row>
    <row r="37" spans="2:7" ht="13.5" thickTop="1"/>
  </sheetData>
  <mergeCells count="1">
    <mergeCell ref="B2:C2"/>
  </mergeCells>
  <phoneticPr fontId="28"/>
  <pageMargins left="0.7" right="0.7" top="0.75" bottom="0.75" header="0.3" footer="0.3"/>
  <pageSetup paperSize="9" scale="98"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U199"/>
  <sheetViews>
    <sheetView workbookViewId="0">
      <selection activeCell="S25" sqref="S25"/>
    </sheetView>
  </sheetViews>
  <sheetFormatPr defaultColWidth="9" defaultRowHeight="13"/>
  <cols>
    <col min="1" max="1" width="5.36328125" style="3" customWidth="1"/>
    <col min="2" max="2" width="9" style="3"/>
    <col min="3" max="3" width="13.453125" style="3" customWidth="1"/>
    <col min="4" max="4" width="12.453125" style="4" customWidth="1"/>
    <col min="5" max="5" width="11" style="4" customWidth="1"/>
    <col min="6" max="6" width="13.6328125" style="4" customWidth="1"/>
    <col min="7" max="7" width="12.6328125" style="4" customWidth="1"/>
    <col min="8" max="8" width="11.1796875" style="4" customWidth="1"/>
    <col min="9" max="9" width="11.6328125" style="4" customWidth="1"/>
    <col min="10" max="10" width="12.1796875" style="4" customWidth="1"/>
    <col min="11" max="11" width="14" style="4" customWidth="1"/>
    <col min="12" max="12" width="12.81640625" style="4" customWidth="1"/>
    <col min="13" max="14" width="13.1796875" style="4" bestFit="1" customWidth="1"/>
    <col min="15" max="15" width="14.453125" style="4" bestFit="1" customWidth="1"/>
    <col min="16" max="16" width="11.36328125" style="4" bestFit="1" customWidth="1"/>
    <col min="17" max="17" width="12.453125" style="4" bestFit="1" customWidth="1"/>
    <col min="18" max="18" width="11.36328125" style="4" bestFit="1" customWidth="1"/>
    <col min="19" max="19" width="13.1796875" style="4" bestFit="1" customWidth="1"/>
    <col min="20" max="21" width="9" style="4"/>
    <col min="22" max="16384" width="9" style="3"/>
  </cols>
  <sheetData>
    <row r="1" spans="2:21" ht="13.5" thickBot="1"/>
    <row r="2" spans="2:21" ht="18" customHeight="1" thickTop="1">
      <c r="F2" s="5"/>
      <c r="G2" s="6"/>
      <c r="H2" s="774" t="s">
        <v>32</v>
      </c>
      <c r="I2" s="775"/>
      <c r="N2" s="5"/>
      <c r="O2" s="6"/>
      <c r="P2" s="6"/>
      <c r="Q2" s="774" t="s">
        <v>32</v>
      </c>
      <c r="R2" s="775"/>
    </row>
    <row r="3" spans="2:21" ht="17.25" customHeight="1">
      <c r="F3" s="7" t="s">
        <v>33</v>
      </c>
      <c r="G3" s="8" t="s">
        <v>34</v>
      </c>
      <c r="H3" s="9" t="s">
        <v>35</v>
      </c>
      <c r="I3" s="10" t="s">
        <v>36</v>
      </c>
      <c r="N3" s="11"/>
      <c r="O3" s="8" t="s">
        <v>33</v>
      </c>
      <c r="P3" s="8" t="s">
        <v>34</v>
      </c>
      <c r="Q3" s="12" t="s">
        <v>35</v>
      </c>
      <c r="R3" s="10" t="s">
        <v>36</v>
      </c>
    </row>
    <row r="4" spans="2:21" ht="18.75" customHeight="1" thickBot="1">
      <c r="F4" s="13">
        <f>初期条件!$F$16</f>
        <v>227731742.19999999</v>
      </c>
      <c r="G4" s="14">
        <f>初期条件!$D$87</f>
        <v>2.7E-2</v>
      </c>
      <c r="H4" s="15">
        <f>初期条件!$D$88*12</f>
        <v>96</v>
      </c>
      <c r="I4" s="16">
        <f>初期条件!$D$88</f>
        <v>8</v>
      </c>
      <c r="N4" s="17"/>
      <c r="O4" s="18">
        <f>F4</f>
        <v>227731742.19999999</v>
      </c>
      <c r="P4" s="14">
        <f>G4</f>
        <v>2.7E-2</v>
      </c>
      <c r="Q4" s="15">
        <f>H4</f>
        <v>96</v>
      </c>
      <c r="R4" s="16">
        <f>I4</f>
        <v>8</v>
      </c>
    </row>
    <row r="5" spans="2:21" ht="18.75" customHeight="1" thickTop="1" thickBot="1">
      <c r="F5" s="19"/>
      <c r="G5" s="20"/>
      <c r="O5" s="19"/>
      <c r="P5" s="20"/>
    </row>
    <row r="6" spans="2:21" ht="18.75" customHeight="1" thickTop="1" thickBot="1">
      <c r="E6" s="21">
        <v>1</v>
      </c>
      <c r="F6" s="22">
        <v>2</v>
      </c>
      <c r="G6" s="22">
        <v>3</v>
      </c>
      <c r="H6" s="22">
        <v>4</v>
      </c>
      <c r="I6" s="22">
        <v>5</v>
      </c>
      <c r="J6" s="22">
        <v>6</v>
      </c>
      <c r="K6" s="22">
        <v>7</v>
      </c>
      <c r="L6" s="22">
        <v>8</v>
      </c>
      <c r="M6" s="22">
        <v>9</v>
      </c>
      <c r="N6" s="22">
        <v>10</v>
      </c>
      <c r="O6" s="22">
        <v>11</v>
      </c>
      <c r="P6" s="22">
        <v>12</v>
      </c>
      <c r="Q6" s="22">
        <v>13</v>
      </c>
      <c r="R6" s="22">
        <v>14</v>
      </c>
      <c r="S6" s="23">
        <v>15</v>
      </c>
    </row>
    <row r="7" spans="2:21" s="4" customFormat="1" ht="18.75" customHeight="1" thickTop="1" thickBot="1">
      <c r="B7" s="776" t="s">
        <v>26</v>
      </c>
      <c r="C7" s="777"/>
      <c r="D7" s="24" t="s">
        <v>37</v>
      </c>
      <c r="E7" s="25">
        <f>J29</f>
        <v>25852941.926146887</v>
      </c>
      <c r="F7" s="26">
        <f>J41</f>
        <v>26559674.587392818</v>
      </c>
      <c r="G7" s="25">
        <f>J53</f>
        <v>27285726.947568886</v>
      </c>
      <c r="H7" s="25">
        <f>J65</f>
        <v>28031627.142400566</v>
      </c>
      <c r="I7" s="25">
        <f>J77</f>
        <v>28797917.745071445</v>
      </c>
      <c r="J7" s="25">
        <f>J89</f>
        <v>29585156.160894889</v>
      </c>
      <c r="K7" s="25">
        <f>J101</f>
        <v>30393915.032774732</v>
      </c>
      <c r="L7" s="25">
        <f>J113</f>
        <v>31224782.657749776</v>
      </c>
      <c r="M7" s="25">
        <f>J125</f>
        <v>0</v>
      </c>
      <c r="N7" s="25">
        <f>J137</f>
        <v>0</v>
      </c>
      <c r="O7" s="26">
        <f>J149</f>
        <v>0</v>
      </c>
      <c r="P7" s="25">
        <f>J161</f>
        <v>0</v>
      </c>
      <c r="Q7" s="25">
        <f>J173</f>
        <v>0</v>
      </c>
      <c r="R7" s="25">
        <f>J185</f>
        <v>0</v>
      </c>
      <c r="S7" s="27">
        <f>J197</f>
        <v>0</v>
      </c>
    </row>
    <row r="8" spans="2:21" s="4" customFormat="1" ht="18.75" customHeight="1" thickTop="1" thickBot="1">
      <c r="B8" s="776"/>
      <c r="C8" s="777"/>
      <c r="D8" s="28" t="s">
        <v>38</v>
      </c>
      <c r="E8" s="29">
        <f>I29</f>
        <v>5830384.7715697112</v>
      </c>
      <c r="F8" s="29">
        <f>I41</f>
        <v>5123652.1103237867</v>
      </c>
      <c r="G8" s="29">
        <f>I53</f>
        <v>4397599.7501477152</v>
      </c>
      <c r="H8" s="29">
        <f>I65</f>
        <v>3651699.5553160375</v>
      </c>
      <c r="I8" s="29">
        <f>I77</f>
        <v>2885408.9526451617</v>
      </c>
      <c r="J8" s="29">
        <f>I89</f>
        <v>2098170.5368217099</v>
      </c>
      <c r="K8" s="29">
        <f>I101</f>
        <v>1289411.6649418722</v>
      </c>
      <c r="L8" s="29">
        <f>I113</f>
        <v>458544.03996682831</v>
      </c>
      <c r="M8" s="29">
        <f>I125</f>
        <v>0</v>
      </c>
      <c r="N8" s="29">
        <f>I137</f>
        <v>0</v>
      </c>
      <c r="O8" s="30">
        <f>I149</f>
        <v>0</v>
      </c>
      <c r="P8" s="29">
        <f>I161</f>
        <v>0</v>
      </c>
      <c r="Q8" s="29">
        <f>I173</f>
        <v>0</v>
      </c>
      <c r="R8" s="29">
        <f>I185</f>
        <v>0</v>
      </c>
      <c r="S8" s="31">
        <f>I197</f>
        <v>0</v>
      </c>
    </row>
    <row r="9" spans="2:21" ht="18.75" customHeight="1" thickTop="1" thickBot="1">
      <c r="B9" s="778" t="s">
        <v>85</v>
      </c>
      <c r="C9" s="779"/>
      <c r="D9" s="32" t="s">
        <v>37</v>
      </c>
      <c r="E9" s="33">
        <f>T25</f>
        <v>28466467.775000002</v>
      </c>
      <c r="F9" s="34">
        <f>T37</f>
        <v>28466467.775000002</v>
      </c>
      <c r="G9" s="33">
        <f>T49</f>
        <v>28466467.775000002</v>
      </c>
      <c r="H9" s="33">
        <f>T61</f>
        <v>28466467.775000002</v>
      </c>
      <c r="I9" s="33">
        <f>T73</f>
        <v>28466467.775000002</v>
      </c>
      <c r="J9" s="33">
        <f>T85</f>
        <v>28466467.775000002</v>
      </c>
      <c r="K9" s="33">
        <f>T97</f>
        <v>28466467.775000002</v>
      </c>
      <c r="L9" s="33">
        <f>T109</f>
        <v>28466467.775000002</v>
      </c>
      <c r="M9" s="33">
        <f>T121</f>
        <v>0</v>
      </c>
      <c r="N9" s="33">
        <f>T133</f>
        <v>0</v>
      </c>
      <c r="O9" s="34">
        <f>T145</f>
        <v>0</v>
      </c>
      <c r="P9" s="33">
        <f>T157</f>
        <v>0</v>
      </c>
      <c r="Q9" s="33">
        <f>T169</f>
        <v>0</v>
      </c>
      <c r="R9" s="33">
        <f>T181</f>
        <v>0</v>
      </c>
      <c r="S9" s="35">
        <f>T193</f>
        <v>0</v>
      </c>
    </row>
    <row r="10" spans="2:21" ht="18.75" customHeight="1" thickTop="1" thickBot="1">
      <c r="B10" s="778"/>
      <c r="C10" s="779"/>
      <c r="D10" s="36" t="s">
        <v>38</v>
      </c>
      <c r="E10" s="37">
        <f>S25</f>
        <v>5796484.500684374</v>
      </c>
      <c r="F10" s="38">
        <f>S37</f>
        <v>5027889.8707593707</v>
      </c>
      <c r="G10" s="37">
        <f>S49</f>
        <v>4259295.2408343684</v>
      </c>
      <c r="H10" s="37">
        <f>S61</f>
        <v>3490700.6109093665</v>
      </c>
      <c r="I10" s="37">
        <f>S73</f>
        <v>2722105.9809843693</v>
      </c>
      <c r="J10" s="37">
        <f>S85</f>
        <v>1953511.3510593711</v>
      </c>
      <c r="K10" s="37">
        <f>S97</f>
        <v>1184916.7211343714</v>
      </c>
      <c r="L10" s="37">
        <f>S109</f>
        <v>416322.09120937128</v>
      </c>
      <c r="M10" s="37">
        <f>S121</f>
        <v>-3.7970021367073059E-9</v>
      </c>
      <c r="N10" s="37">
        <f>S133</f>
        <v>-3.7970021367073059E-9</v>
      </c>
      <c r="O10" s="38">
        <f>S145</f>
        <v>-3.7970021367073059E-9</v>
      </c>
      <c r="P10" s="37">
        <f>S157</f>
        <v>-3.7970021367073059E-9</v>
      </c>
      <c r="Q10" s="37">
        <f>S169</f>
        <v>-3.7970021367073059E-9</v>
      </c>
      <c r="R10" s="37">
        <f>S181</f>
        <v>-3.7970021367073059E-9</v>
      </c>
      <c r="S10" s="39">
        <f>S193</f>
        <v>-3.7970021367073059E-9</v>
      </c>
    </row>
    <row r="11" spans="2:21" ht="17.25" customHeight="1" thickTop="1" thickBot="1">
      <c r="C11" s="40"/>
      <c r="E11" s="41"/>
      <c r="F11" s="19"/>
      <c r="G11" s="41"/>
      <c r="H11" s="41"/>
      <c r="I11" s="41"/>
      <c r="J11" s="41"/>
      <c r="K11" s="41"/>
      <c r="L11" s="41"/>
      <c r="M11" s="41"/>
      <c r="N11" s="41"/>
      <c r="O11" s="19"/>
      <c r="P11" s="41"/>
      <c r="Q11" s="41"/>
      <c r="R11" s="41"/>
      <c r="S11" s="41"/>
    </row>
    <row r="12" spans="2:21" ht="29.25" customHeight="1" thickTop="1" thickBot="1">
      <c r="D12" s="5"/>
      <c r="E12" s="6"/>
      <c r="F12" s="774" t="s">
        <v>32</v>
      </c>
      <c r="G12" s="775"/>
      <c r="H12" s="41"/>
      <c r="I12" s="41"/>
      <c r="J12" s="41"/>
      <c r="K12" s="41"/>
      <c r="M12" s="782" t="s">
        <v>84</v>
      </c>
      <c r="N12" s="783"/>
    </row>
    <row r="13" spans="2:21" ht="13.5" thickTop="1">
      <c r="D13" s="7" t="s">
        <v>33</v>
      </c>
      <c r="E13" s="8" t="s">
        <v>34</v>
      </c>
      <c r="F13" s="9" t="s">
        <v>35</v>
      </c>
      <c r="G13" s="10" t="s">
        <v>36</v>
      </c>
      <c r="H13" s="41"/>
      <c r="I13" s="41"/>
      <c r="J13" s="41"/>
      <c r="K13" s="41"/>
      <c r="M13" s="44" t="s">
        <v>42</v>
      </c>
      <c r="N13" s="45" t="s">
        <v>43</v>
      </c>
      <c r="O13" s="45" t="s">
        <v>46</v>
      </c>
      <c r="P13" s="42" t="s">
        <v>47</v>
      </c>
      <c r="Q13" s="42" t="s">
        <v>48</v>
      </c>
      <c r="R13" s="42" t="s">
        <v>49</v>
      </c>
      <c r="S13" s="42" t="s">
        <v>46</v>
      </c>
      <c r="T13" s="42" t="s">
        <v>47</v>
      </c>
      <c r="U13" s="43" t="s">
        <v>45</v>
      </c>
    </row>
    <row r="14" spans="2:21" ht="13.5" thickBot="1">
      <c r="D14" s="13">
        <f>初期条件!$F$16</f>
        <v>227731742.19999999</v>
      </c>
      <c r="E14" s="14">
        <f>初期条件!$D$87</f>
        <v>2.7E-2</v>
      </c>
      <c r="F14" s="15">
        <f>初期条件!$D$88*12</f>
        <v>96</v>
      </c>
      <c r="G14" s="16">
        <f>初期条件!$D$88</f>
        <v>8</v>
      </c>
      <c r="H14" s="41"/>
      <c r="I14" s="41"/>
      <c r="J14" s="41"/>
      <c r="K14" s="41"/>
      <c r="M14" s="772">
        <v>1</v>
      </c>
      <c r="N14" s="46">
        <v>1</v>
      </c>
      <c r="O14" s="47">
        <f>O4*$P$4/12</f>
        <v>512396.41994999995</v>
      </c>
      <c r="P14" s="47">
        <f>IF($N14&gt;$Q$4,0,$O$4/$Q$4)</f>
        <v>2372205.6479166667</v>
      </c>
      <c r="Q14" s="47">
        <f>O4-P14</f>
        <v>225359536.55208331</v>
      </c>
      <c r="R14" s="47">
        <f>O14+P14</f>
        <v>2884602.0678666667</v>
      </c>
      <c r="S14" s="48"/>
      <c r="T14" s="48"/>
      <c r="U14" s="49"/>
    </row>
    <row r="15" spans="2:21" ht="16.5" customHeight="1" thickTop="1" thickBot="1">
      <c r="E15" s="41"/>
      <c r="F15" s="19"/>
      <c r="G15" s="41"/>
      <c r="H15" s="41"/>
      <c r="I15" s="41"/>
      <c r="J15" s="41"/>
      <c r="K15" s="41"/>
      <c r="M15" s="772"/>
      <c r="N15" s="46">
        <v>2</v>
      </c>
      <c r="O15" s="47">
        <f>Q14*$P$4/12</f>
        <v>507058.9572421874</v>
      </c>
      <c r="P15" s="47">
        <f t="shared" ref="P15:P78" si="0">IF($N15&gt;$Q$4,0,$O$4/$Q$4)</f>
        <v>2372205.6479166667</v>
      </c>
      <c r="Q15" s="47">
        <f>Q14-P15</f>
        <v>222987330.90416664</v>
      </c>
      <c r="R15" s="47">
        <f t="shared" ref="R15:R78" si="1">O15+P15</f>
        <v>2879264.6051588543</v>
      </c>
      <c r="S15" s="48"/>
      <c r="T15" s="48"/>
      <c r="U15" s="49"/>
    </row>
    <row r="16" spans="2:21" ht="14" thickTop="1" thickBot="1">
      <c r="D16" s="780" t="s">
        <v>39</v>
      </c>
      <c r="E16" s="781"/>
      <c r="F16" s="784" t="s">
        <v>40</v>
      </c>
      <c r="G16" s="785"/>
      <c r="H16" s="786"/>
      <c r="I16" s="787" t="s">
        <v>41</v>
      </c>
      <c r="J16" s="787"/>
      <c r="K16" s="788"/>
      <c r="M16" s="772"/>
      <c r="N16" s="46">
        <v>3</v>
      </c>
      <c r="O16" s="47">
        <f t="shared" ref="O16:O79" si="2">Q15*$P$4/12</f>
        <v>501721.49453437491</v>
      </c>
      <c r="P16" s="47">
        <f t="shared" si="0"/>
        <v>2372205.6479166667</v>
      </c>
      <c r="Q16" s="47">
        <f t="shared" ref="Q16:Q79" si="3">Q15-P16</f>
        <v>220615125.25624996</v>
      </c>
      <c r="R16" s="47">
        <f t="shared" si="1"/>
        <v>2873927.1424510414</v>
      </c>
      <c r="S16" s="48"/>
      <c r="T16" s="48"/>
      <c r="U16" s="49"/>
    </row>
    <row r="17" spans="4:21" ht="13.5" thickTop="1">
      <c r="D17" s="177" t="s">
        <v>42</v>
      </c>
      <c r="E17" s="179" t="s">
        <v>43</v>
      </c>
      <c r="F17" s="182" t="s">
        <v>44</v>
      </c>
      <c r="G17" s="183" t="s">
        <v>37</v>
      </c>
      <c r="H17" s="184" t="s">
        <v>45</v>
      </c>
      <c r="I17" s="176" t="s">
        <v>44</v>
      </c>
      <c r="J17" s="42" t="s">
        <v>37</v>
      </c>
      <c r="K17" s="43" t="s">
        <v>45</v>
      </c>
      <c r="M17" s="772"/>
      <c r="N17" s="46">
        <v>4</v>
      </c>
      <c r="O17" s="47">
        <f t="shared" si="2"/>
        <v>496384.03182656242</v>
      </c>
      <c r="P17" s="47">
        <f t="shared" si="0"/>
        <v>2372205.6479166667</v>
      </c>
      <c r="Q17" s="47">
        <f t="shared" si="3"/>
        <v>218242919.60833329</v>
      </c>
      <c r="R17" s="47">
        <f t="shared" si="1"/>
        <v>2868589.6797432289</v>
      </c>
      <c r="S17" s="48"/>
      <c r="T17" s="48"/>
      <c r="U17" s="49"/>
    </row>
    <row r="18" spans="4:21">
      <c r="D18" s="770">
        <v>1</v>
      </c>
      <c r="E18" s="180">
        <v>1</v>
      </c>
      <c r="F18" s="185">
        <f>IF($E18&gt;$H$4,0,-IPMT($G$4/12,$E18,$H$4,$F$4,0))</f>
        <v>512396.41994999995</v>
      </c>
      <c r="G18" s="186">
        <f>IF($E18&gt;$H$4,0,-PPMT($G$4/12,$E18,$H$4,$F$4,0))</f>
        <v>2127880.8048597169</v>
      </c>
      <c r="H18" s="187">
        <f>F18+G18</f>
        <v>2640277.2248097169</v>
      </c>
      <c r="I18" s="181"/>
      <c r="J18" s="48"/>
      <c r="K18" s="49"/>
      <c r="M18" s="772"/>
      <c r="N18" s="46">
        <v>5</v>
      </c>
      <c r="O18" s="47">
        <f t="shared" si="2"/>
        <v>491046.56911874987</v>
      </c>
      <c r="P18" s="47">
        <f t="shared" si="0"/>
        <v>2372205.6479166667</v>
      </c>
      <c r="Q18" s="47">
        <f t="shared" si="3"/>
        <v>215870713.96041662</v>
      </c>
      <c r="R18" s="47">
        <f t="shared" si="1"/>
        <v>2863252.2170354165</v>
      </c>
      <c r="S18" s="48"/>
      <c r="T18" s="48"/>
      <c r="U18" s="49"/>
    </row>
    <row r="19" spans="4:21">
      <c r="D19" s="770"/>
      <c r="E19" s="180">
        <v>2</v>
      </c>
      <c r="F19" s="185">
        <f>IF($E19&gt;$H$4,0,-IPMT($G$4/12,$E19,$H$4,$F$4,0))</f>
        <v>507608.68813906546</v>
      </c>
      <c r="G19" s="186">
        <f>IF($E19&gt;$H$4,0,-PPMT($G$4/12,$E19,$H$4,$F$4,0))</f>
        <v>2132668.5366706513</v>
      </c>
      <c r="H19" s="187">
        <f>F19+G19</f>
        <v>2640277.2248097169</v>
      </c>
      <c r="I19" s="181"/>
      <c r="J19" s="48"/>
      <c r="K19" s="49"/>
      <c r="M19" s="772"/>
      <c r="N19" s="46">
        <v>6</v>
      </c>
      <c r="O19" s="47">
        <f t="shared" si="2"/>
        <v>485709.10641093738</v>
      </c>
      <c r="P19" s="47">
        <f t="shared" si="0"/>
        <v>2372205.6479166667</v>
      </c>
      <c r="Q19" s="47">
        <f t="shared" si="3"/>
        <v>213498508.31249994</v>
      </c>
      <c r="R19" s="47">
        <f t="shared" si="1"/>
        <v>2857914.7543276041</v>
      </c>
      <c r="S19" s="48"/>
      <c r="T19" s="48"/>
      <c r="U19" s="49"/>
    </row>
    <row r="20" spans="4:21">
      <c r="D20" s="770"/>
      <c r="E20" s="180">
        <v>3</v>
      </c>
      <c r="F20" s="185">
        <f>IF($E20&gt;$H$4,0,-IPMT($G$4/12,$E20,$H$4,$F$4,0))</f>
        <v>502810.18393155665</v>
      </c>
      <c r="G20" s="186">
        <f>IF($E20&gt;$H$4,0,-PPMT($G$4/12,$E20,$H$4,$F$4,0))</f>
        <v>2137467.0408781604</v>
      </c>
      <c r="H20" s="187">
        <f>F20+G20</f>
        <v>2640277.2248097169</v>
      </c>
      <c r="I20" s="181"/>
      <c r="J20" s="48"/>
      <c r="K20" s="49"/>
      <c r="M20" s="772"/>
      <c r="N20" s="46">
        <v>7</v>
      </c>
      <c r="O20" s="47">
        <f t="shared" si="2"/>
        <v>480371.64370312489</v>
      </c>
      <c r="P20" s="47">
        <f t="shared" si="0"/>
        <v>2372205.6479166667</v>
      </c>
      <c r="Q20" s="47">
        <f t="shared" si="3"/>
        <v>211126302.66458327</v>
      </c>
      <c r="R20" s="47">
        <f t="shared" si="1"/>
        <v>2852577.2916197916</v>
      </c>
      <c r="S20" s="48"/>
      <c r="T20" s="48"/>
      <c r="U20" s="49"/>
    </row>
    <row r="21" spans="4:21">
      <c r="D21" s="770"/>
      <c r="E21" s="180">
        <v>4</v>
      </c>
      <c r="F21" s="185">
        <f t="shared" ref="F21:F84" si="4">IF($E21&gt;$H$4,0,-IPMT($G$4/12,$E21,$H$4,$F$4,0))</f>
        <v>498000.88308958069</v>
      </c>
      <c r="G21" s="186">
        <f t="shared" ref="G21:G84" si="5">IF($E21&gt;$H$4,0,-PPMT($G$4/12,$E21,$H$4,$F$4,0))</f>
        <v>2142276.3417201363</v>
      </c>
      <c r="H21" s="187">
        <f>F21+G21</f>
        <v>2640277.2248097169</v>
      </c>
      <c r="I21" s="181"/>
      <c r="J21" s="48"/>
      <c r="K21" s="49"/>
      <c r="M21" s="772"/>
      <c r="N21" s="46">
        <v>8</v>
      </c>
      <c r="O21" s="47">
        <f t="shared" si="2"/>
        <v>475034.18099531234</v>
      </c>
      <c r="P21" s="47">
        <f t="shared" si="0"/>
        <v>2372205.6479166667</v>
      </c>
      <c r="Q21" s="47">
        <f t="shared" si="3"/>
        <v>208754097.01666659</v>
      </c>
      <c r="R21" s="47">
        <f t="shared" si="1"/>
        <v>2847239.8289119792</v>
      </c>
      <c r="S21" s="48"/>
      <c r="T21" s="48"/>
      <c r="U21" s="49"/>
    </row>
    <row r="22" spans="4:21" ht="12.75" customHeight="1">
      <c r="D22" s="770"/>
      <c r="E22" s="180">
        <v>5</v>
      </c>
      <c r="F22" s="185">
        <f t="shared" si="4"/>
        <v>493180.76132071036</v>
      </c>
      <c r="G22" s="186">
        <f t="shared" si="5"/>
        <v>2147096.4634890063</v>
      </c>
      <c r="H22" s="187">
        <f t="shared" ref="H22:H85" si="6">F22+G22</f>
        <v>2640277.2248097165</v>
      </c>
      <c r="I22" s="181"/>
      <c r="J22" s="48"/>
      <c r="K22" s="49"/>
      <c r="M22" s="772"/>
      <c r="N22" s="46">
        <v>9</v>
      </c>
      <c r="O22" s="47">
        <f t="shared" si="2"/>
        <v>469696.71828749985</v>
      </c>
      <c r="P22" s="47">
        <f t="shared" si="0"/>
        <v>2372205.6479166667</v>
      </c>
      <c r="Q22" s="47">
        <f t="shared" si="3"/>
        <v>206381891.36874992</v>
      </c>
      <c r="R22" s="47">
        <f t="shared" si="1"/>
        <v>2841902.3662041668</v>
      </c>
      <c r="S22" s="48"/>
      <c r="T22" s="48"/>
      <c r="U22" s="49"/>
    </row>
    <row r="23" spans="4:21">
      <c r="D23" s="770"/>
      <c r="E23" s="180">
        <v>6</v>
      </c>
      <c r="F23" s="185">
        <f t="shared" si="4"/>
        <v>488349.79427786014</v>
      </c>
      <c r="G23" s="186">
        <f t="shared" si="5"/>
        <v>2151927.4305318566</v>
      </c>
      <c r="H23" s="187">
        <f t="shared" si="6"/>
        <v>2640277.2248097169</v>
      </c>
      <c r="I23" s="181"/>
      <c r="J23" s="48"/>
      <c r="K23" s="49"/>
      <c r="M23" s="772"/>
      <c r="N23" s="46">
        <v>10</v>
      </c>
      <c r="O23" s="47">
        <f t="shared" si="2"/>
        <v>464359.25557968736</v>
      </c>
      <c r="P23" s="47">
        <f t="shared" si="0"/>
        <v>2372205.6479166667</v>
      </c>
      <c r="Q23" s="47">
        <f t="shared" si="3"/>
        <v>204009685.72083324</v>
      </c>
      <c r="R23" s="47">
        <f t="shared" si="1"/>
        <v>2836564.9034963539</v>
      </c>
      <c r="S23" s="48"/>
      <c r="T23" s="48"/>
      <c r="U23" s="49"/>
    </row>
    <row r="24" spans="4:21" ht="12" customHeight="1">
      <c r="D24" s="770"/>
      <c r="E24" s="180">
        <v>7</v>
      </c>
      <c r="F24" s="185">
        <f t="shared" si="4"/>
        <v>483507.95755916351</v>
      </c>
      <c r="G24" s="186">
        <f t="shared" si="5"/>
        <v>2156769.2672505537</v>
      </c>
      <c r="H24" s="187">
        <f t="shared" si="6"/>
        <v>2640277.2248097174</v>
      </c>
      <c r="I24" s="181"/>
      <c r="J24" s="48"/>
      <c r="K24" s="49"/>
      <c r="M24" s="772"/>
      <c r="N24" s="46">
        <v>11</v>
      </c>
      <c r="O24" s="47">
        <f t="shared" si="2"/>
        <v>459021.79287187476</v>
      </c>
      <c r="P24" s="47">
        <f t="shared" si="0"/>
        <v>2372205.6479166667</v>
      </c>
      <c r="Q24" s="47">
        <f t="shared" si="3"/>
        <v>201637480.07291657</v>
      </c>
      <c r="R24" s="47">
        <f t="shared" si="1"/>
        <v>2831227.4407885415</v>
      </c>
      <c r="S24" s="48"/>
      <c r="T24" s="48"/>
      <c r="U24" s="49"/>
    </row>
    <row r="25" spans="4:21">
      <c r="D25" s="770"/>
      <c r="E25" s="180">
        <v>8</v>
      </c>
      <c r="F25" s="185">
        <f t="shared" si="4"/>
        <v>478655.22670784977</v>
      </c>
      <c r="G25" s="186">
        <f t="shared" si="5"/>
        <v>2161621.9981018668</v>
      </c>
      <c r="H25" s="187">
        <f t="shared" si="6"/>
        <v>2640277.2248097165</v>
      </c>
      <c r="I25" s="181"/>
      <c r="J25" s="48"/>
      <c r="K25" s="49"/>
      <c r="M25" s="772"/>
      <c r="N25" s="46">
        <v>12</v>
      </c>
      <c r="O25" s="47">
        <f t="shared" si="2"/>
        <v>453684.33016406227</v>
      </c>
      <c r="P25" s="47">
        <f t="shared" si="0"/>
        <v>2372205.6479166667</v>
      </c>
      <c r="Q25" s="47">
        <f t="shared" si="3"/>
        <v>199265274.42499989</v>
      </c>
      <c r="R25" s="47">
        <f t="shared" si="1"/>
        <v>2825889.978080729</v>
      </c>
      <c r="S25" s="47">
        <f>SUM(O14:O25)</f>
        <v>5796484.500684374</v>
      </c>
      <c r="T25" s="47">
        <f>SUM(P14:P25)</f>
        <v>28466467.775000002</v>
      </c>
      <c r="U25" s="50">
        <f>S25+T25</f>
        <v>34262952.275684379</v>
      </c>
    </row>
    <row r="26" spans="4:21">
      <c r="D26" s="770"/>
      <c r="E26" s="180">
        <v>9</v>
      </c>
      <c r="F26" s="185">
        <f t="shared" si="4"/>
        <v>473791.57721212046</v>
      </c>
      <c r="G26" s="186">
        <f t="shared" si="5"/>
        <v>2166485.6475975965</v>
      </c>
      <c r="H26" s="187">
        <f t="shared" si="6"/>
        <v>2640277.2248097169</v>
      </c>
      <c r="I26" s="181"/>
      <c r="J26" s="48"/>
      <c r="K26" s="49"/>
      <c r="M26" s="772">
        <v>2</v>
      </c>
      <c r="N26" s="46">
        <v>13</v>
      </c>
      <c r="O26" s="47">
        <f t="shared" si="2"/>
        <v>448346.86745624972</v>
      </c>
      <c r="P26" s="47">
        <f t="shared" si="0"/>
        <v>2372205.6479166667</v>
      </c>
      <c r="Q26" s="47">
        <f t="shared" si="3"/>
        <v>196893068.77708322</v>
      </c>
      <c r="R26" s="47">
        <f t="shared" si="1"/>
        <v>2820552.5153729166</v>
      </c>
      <c r="S26" s="47"/>
      <c r="T26" s="48"/>
      <c r="U26" s="49"/>
    </row>
    <row r="27" spans="4:21">
      <c r="D27" s="770"/>
      <c r="E27" s="180">
        <v>10</v>
      </c>
      <c r="F27" s="185">
        <f t="shared" si="4"/>
        <v>468916.98450502584</v>
      </c>
      <c r="G27" s="186">
        <f t="shared" si="5"/>
        <v>2171360.2403046913</v>
      </c>
      <c r="H27" s="187">
        <f t="shared" si="6"/>
        <v>2640277.2248097169</v>
      </c>
      <c r="I27" s="181"/>
      <c r="J27" s="48"/>
      <c r="K27" s="49"/>
      <c r="M27" s="772"/>
      <c r="N27" s="46">
        <v>14</v>
      </c>
      <c r="O27" s="47">
        <f t="shared" si="2"/>
        <v>443009.40474843723</v>
      </c>
      <c r="P27" s="47">
        <f t="shared" si="0"/>
        <v>2372205.6479166667</v>
      </c>
      <c r="Q27" s="47">
        <f t="shared" si="3"/>
        <v>194520863.12916654</v>
      </c>
      <c r="R27" s="47">
        <f t="shared" si="1"/>
        <v>2815215.0526651042</v>
      </c>
      <c r="S27" s="47"/>
      <c r="T27" s="48"/>
      <c r="U27" s="49"/>
    </row>
    <row r="28" spans="4:21">
      <c r="D28" s="770"/>
      <c r="E28" s="180">
        <v>11</v>
      </c>
      <c r="F28" s="185">
        <f t="shared" si="4"/>
        <v>464031.42396434036</v>
      </c>
      <c r="G28" s="186">
        <f t="shared" si="5"/>
        <v>2176245.8008453767</v>
      </c>
      <c r="H28" s="187">
        <f t="shared" si="6"/>
        <v>2640277.2248097169</v>
      </c>
      <c r="I28" s="181"/>
      <c r="J28" s="48"/>
      <c r="K28" s="49"/>
      <c r="M28" s="772"/>
      <c r="N28" s="46">
        <v>15</v>
      </c>
      <c r="O28" s="47">
        <f t="shared" si="2"/>
        <v>437671.94204062474</v>
      </c>
      <c r="P28" s="47">
        <f t="shared" si="0"/>
        <v>2372205.6479166667</v>
      </c>
      <c r="Q28" s="47">
        <f t="shared" si="3"/>
        <v>192148657.48124987</v>
      </c>
      <c r="R28" s="47">
        <f t="shared" si="1"/>
        <v>2809877.5899572913</v>
      </c>
      <c r="S28" s="47"/>
      <c r="T28" s="48"/>
      <c r="U28" s="49"/>
    </row>
    <row r="29" spans="4:21" ht="13.5" thickBot="1">
      <c r="D29" s="771"/>
      <c r="E29" s="188">
        <v>12</v>
      </c>
      <c r="F29" s="189">
        <f t="shared" si="4"/>
        <v>459134.87091243832</v>
      </c>
      <c r="G29" s="190">
        <f t="shared" si="5"/>
        <v>2181142.3538972787</v>
      </c>
      <c r="H29" s="191">
        <f t="shared" si="6"/>
        <v>2640277.2248097169</v>
      </c>
      <c r="I29" s="192">
        <f>SUM(F18:F29)</f>
        <v>5830384.7715697112</v>
      </c>
      <c r="J29" s="193">
        <f>SUM(G18:G29)</f>
        <v>25852941.926146887</v>
      </c>
      <c r="K29" s="194">
        <f>I29+J29</f>
        <v>31683326.697716597</v>
      </c>
      <c r="M29" s="772"/>
      <c r="N29" s="46">
        <v>16</v>
      </c>
      <c r="O29" s="47">
        <f t="shared" si="2"/>
        <v>432334.47933281219</v>
      </c>
      <c r="P29" s="47">
        <f t="shared" si="0"/>
        <v>2372205.6479166667</v>
      </c>
      <c r="Q29" s="47">
        <f t="shared" si="3"/>
        <v>189776451.83333319</v>
      </c>
      <c r="R29" s="47">
        <f t="shared" si="1"/>
        <v>2804540.1272494788</v>
      </c>
      <c r="S29" s="47"/>
      <c r="T29" s="48"/>
      <c r="U29" s="49"/>
    </row>
    <row r="30" spans="4:21">
      <c r="D30" s="769">
        <v>2</v>
      </c>
      <c r="E30" s="195">
        <v>13</v>
      </c>
      <c r="F30" s="196">
        <f t="shared" si="4"/>
        <v>454227.30061616941</v>
      </c>
      <c r="G30" s="197">
        <f t="shared" si="5"/>
        <v>2186049.9241935476</v>
      </c>
      <c r="H30" s="198">
        <f t="shared" si="6"/>
        <v>2640277.2248097169</v>
      </c>
      <c r="I30" s="199"/>
      <c r="J30" s="200"/>
      <c r="K30" s="201"/>
      <c r="M30" s="772"/>
      <c r="N30" s="46">
        <v>17</v>
      </c>
      <c r="O30" s="47">
        <f t="shared" si="2"/>
        <v>426997.0166249997</v>
      </c>
      <c r="P30" s="47">
        <f t="shared" si="0"/>
        <v>2372205.6479166667</v>
      </c>
      <c r="Q30" s="47">
        <f t="shared" si="3"/>
        <v>187404246.18541652</v>
      </c>
      <c r="R30" s="47">
        <f t="shared" si="1"/>
        <v>2799202.6645416664</v>
      </c>
      <c r="S30" s="47"/>
      <c r="T30" s="48"/>
      <c r="U30" s="49"/>
    </row>
    <row r="31" spans="4:21">
      <c r="D31" s="770"/>
      <c r="E31" s="180">
        <v>14</v>
      </c>
      <c r="F31" s="185">
        <f t="shared" si="4"/>
        <v>449308.68828673399</v>
      </c>
      <c r="G31" s="186">
        <f t="shared" si="5"/>
        <v>2190968.5365229831</v>
      </c>
      <c r="H31" s="187">
        <f t="shared" si="6"/>
        <v>2640277.2248097169</v>
      </c>
      <c r="I31" s="178"/>
      <c r="J31" s="48"/>
      <c r="K31" s="49"/>
      <c r="M31" s="772"/>
      <c r="N31" s="46">
        <v>18</v>
      </c>
      <c r="O31" s="47">
        <f t="shared" si="2"/>
        <v>421659.55391718721</v>
      </c>
      <c r="P31" s="47">
        <f t="shared" si="0"/>
        <v>2372205.6479166667</v>
      </c>
      <c r="Q31" s="47">
        <f t="shared" si="3"/>
        <v>185032040.53749985</v>
      </c>
      <c r="R31" s="47">
        <f t="shared" si="1"/>
        <v>2793865.201833854</v>
      </c>
      <c r="S31" s="47"/>
      <c r="T31" s="48"/>
      <c r="U31" s="49"/>
    </row>
    <row r="32" spans="4:21">
      <c r="D32" s="770"/>
      <c r="E32" s="180">
        <v>15</v>
      </c>
      <c r="F32" s="185">
        <f t="shared" si="4"/>
        <v>444379.00907955732</v>
      </c>
      <c r="G32" s="186">
        <f t="shared" si="5"/>
        <v>2195898.2157301595</v>
      </c>
      <c r="H32" s="187">
        <f t="shared" si="6"/>
        <v>2640277.2248097169</v>
      </c>
      <c r="I32" s="178"/>
      <c r="J32" s="48"/>
      <c r="K32" s="49"/>
      <c r="M32" s="772"/>
      <c r="N32" s="46">
        <v>19</v>
      </c>
      <c r="O32" s="47">
        <f t="shared" si="2"/>
        <v>416322.09120937466</v>
      </c>
      <c r="P32" s="47">
        <f t="shared" si="0"/>
        <v>2372205.6479166667</v>
      </c>
      <c r="Q32" s="47">
        <f t="shared" si="3"/>
        <v>182659834.88958317</v>
      </c>
      <c r="R32" s="47">
        <f t="shared" si="1"/>
        <v>2788527.7391260415</v>
      </c>
      <c r="S32" s="47"/>
      <c r="T32" s="48"/>
      <c r="U32" s="49"/>
    </row>
    <row r="33" spans="4:21">
      <c r="D33" s="770"/>
      <c r="E33" s="180">
        <v>16</v>
      </c>
      <c r="F33" s="185">
        <f t="shared" si="4"/>
        <v>439438.23809416441</v>
      </c>
      <c r="G33" s="186">
        <f t="shared" si="5"/>
        <v>2200838.9867155524</v>
      </c>
      <c r="H33" s="187">
        <f t="shared" si="6"/>
        <v>2640277.2248097169</v>
      </c>
      <c r="I33" s="178"/>
      <c r="J33" s="48"/>
      <c r="K33" s="49"/>
      <c r="M33" s="772"/>
      <c r="N33" s="46">
        <v>20</v>
      </c>
      <c r="O33" s="47">
        <f t="shared" si="2"/>
        <v>410984.62850156211</v>
      </c>
      <c r="P33" s="47">
        <f t="shared" si="0"/>
        <v>2372205.6479166667</v>
      </c>
      <c r="Q33" s="47">
        <f t="shared" si="3"/>
        <v>180287629.2416665</v>
      </c>
      <c r="R33" s="47">
        <f t="shared" si="1"/>
        <v>2783190.2764182286</v>
      </c>
      <c r="S33" s="47"/>
      <c r="T33" s="48"/>
      <c r="U33" s="49"/>
    </row>
    <row r="34" spans="4:21">
      <c r="D34" s="770"/>
      <c r="E34" s="180">
        <v>17</v>
      </c>
      <c r="F34" s="185">
        <f t="shared" si="4"/>
        <v>434486.35037405434</v>
      </c>
      <c r="G34" s="186">
        <f t="shared" si="5"/>
        <v>2205790.8744356623</v>
      </c>
      <c r="H34" s="187">
        <f t="shared" si="6"/>
        <v>2640277.2248097165</v>
      </c>
      <c r="I34" s="178"/>
      <c r="J34" s="48"/>
      <c r="K34" s="49"/>
      <c r="M34" s="772"/>
      <c r="N34" s="46">
        <v>21</v>
      </c>
      <c r="O34" s="47">
        <f t="shared" si="2"/>
        <v>405647.16579374956</v>
      </c>
      <c r="P34" s="47">
        <f t="shared" si="0"/>
        <v>2372205.6479166667</v>
      </c>
      <c r="Q34" s="47">
        <f t="shared" si="3"/>
        <v>177915423.59374982</v>
      </c>
      <c r="R34" s="47">
        <f t="shared" si="1"/>
        <v>2777852.8137104162</v>
      </c>
      <c r="S34" s="47"/>
      <c r="T34" s="48"/>
      <c r="U34" s="49"/>
    </row>
    <row r="35" spans="4:21">
      <c r="D35" s="770"/>
      <c r="E35" s="180">
        <v>18</v>
      </c>
      <c r="F35" s="185">
        <f t="shared" si="4"/>
        <v>429523.32090657408</v>
      </c>
      <c r="G35" s="186">
        <f t="shared" si="5"/>
        <v>2210753.9039031425</v>
      </c>
      <c r="H35" s="187">
        <f t="shared" si="6"/>
        <v>2640277.2248097165</v>
      </c>
      <c r="I35" s="178"/>
      <c r="J35" s="48"/>
      <c r="K35" s="49"/>
      <c r="M35" s="772"/>
      <c r="N35" s="46">
        <v>22</v>
      </c>
      <c r="O35" s="47">
        <f t="shared" si="2"/>
        <v>400309.70308593707</v>
      </c>
      <c r="P35" s="47">
        <f t="shared" si="0"/>
        <v>2372205.6479166667</v>
      </c>
      <c r="Q35" s="47">
        <f t="shared" si="3"/>
        <v>175543217.94583315</v>
      </c>
      <c r="R35" s="47">
        <f t="shared" si="1"/>
        <v>2772515.3510026038</v>
      </c>
      <c r="S35" s="47"/>
      <c r="T35" s="48"/>
      <c r="U35" s="49"/>
    </row>
    <row r="36" spans="4:21">
      <c r="D36" s="770"/>
      <c r="E36" s="180">
        <v>19</v>
      </c>
      <c r="F36" s="185">
        <f t="shared" si="4"/>
        <v>424549.12462279206</v>
      </c>
      <c r="G36" s="186">
        <f t="shared" si="5"/>
        <v>2215728.1001869249</v>
      </c>
      <c r="H36" s="187">
        <f t="shared" si="6"/>
        <v>2640277.2248097169</v>
      </c>
      <c r="I36" s="178"/>
      <c r="J36" s="48"/>
      <c r="K36" s="49"/>
      <c r="M36" s="772"/>
      <c r="N36" s="46">
        <v>23</v>
      </c>
      <c r="O36" s="47">
        <f t="shared" si="2"/>
        <v>394972.24037812458</v>
      </c>
      <c r="P36" s="47">
        <f t="shared" si="0"/>
        <v>2372205.6479166667</v>
      </c>
      <c r="Q36" s="47">
        <f t="shared" si="3"/>
        <v>173171012.29791647</v>
      </c>
      <c r="R36" s="47">
        <f t="shared" si="1"/>
        <v>2767177.8882947913</v>
      </c>
      <c r="S36" s="47"/>
      <c r="T36" s="48"/>
      <c r="U36" s="49"/>
    </row>
    <row r="37" spans="4:21">
      <c r="D37" s="770"/>
      <c r="E37" s="180">
        <v>20</v>
      </c>
      <c r="F37" s="185">
        <f t="shared" si="4"/>
        <v>419563.73639737145</v>
      </c>
      <c r="G37" s="186">
        <f t="shared" si="5"/>
        <v>2220713.4884123453</v>
      </c>
      <c r="H37" s="187">
        <f t="shared" si="6"/>
        <v>2640277.2248097169</v>
      </c>
      <c r="I37" s="178"/>
      <c r="J37" s="48"/>
      <c r="K37" s="49"/>
      <c r="M37" s="772"/>
      <c r="N37" s="46">
        <v>24</v>
      </c>
      <c r="O37" s="47">
        <f t="shared" si="2"/>
        <v>389634.77767031203</v>
      </c>
      <c r="P37" s="47">
        <f t="shared" si="0"/>
        <v>2372205.6479166667</v>
      </c>
      <c r="Q37" s="47">
        <f t="shared" si="3"/>
        <v>170798806.6499998</v>
      </c>
      <c r="R37" s="47">
        <f t="shared" si="1"/>
        <v>2761840.4255869789</v>
      </c>
      <c r="S37" s="47">
        <f>SUM(O26:O37)</f>
        <v>5027889.8707593707</v>
      </c>
      <c r="T37" s="47">
        <f>SUM(P26:P37)</f>
        <v>28466467.775000002</v>
      </c>
      <c r="U37" s="50">
        <f>S37+T37</f>
        <v>33494357.645759374</v>
      </c>
    </row>
    <row r="38" spans="4:21">
      <c r="D38" s="770"/>
      <c r="E38" s="180">
        <v>21</v>
      </c>
      <c r="F38" s="185">
        <f t="shared" si="4"/>
        <v>414567.13104844373</v>
      </c>
      <c r="G38" s="186">
        <f t="shared" si="5"/>
        <v>2225710.0937612732</v>
      </c>
      <c r="H38" s="187">
        <f t="shared" si="6"/>
        <v>2640277.2248097169</v>
      </c>
      <c r="I38" s="178"/>
      <c r="J38" s="48"/>
      <c r="K38" s="49"/>
      <c r="M38" s="772">
        <v>3</v>
      </c>
      <c r="N38" s="46">
        <v>25</v>
      </c>
      <c r="O38" s="47">
        <f t="shared" si="2"/>
        <v>384297.31496249954</v>
      </c>
      <c r="P38" s="47">
        <f t="shared" si="0"/>
        <v>2372205.6479166667</v>
      </c>
      <c r="Q38" s="47">
        <f t="shared" si="3"/>
        <v>168426601.00208312</v>
      </c>
      <c r="R38" s="47">
        <f t="shared" si="1"/>
        <v>2756502.962879166</v>
      </c>
      <c r="S38" s="47"/>
      <c r="T38" s="48"/>
      <c r="U38" s="49"/>
    </row>
    <row r="39" spans="4:21">
      <c r="D39" s="770"/>
      <c r="E39" s="180">
        <v>22</v>
      </c>
      <c r="F39" s="185">
        <f t="shared" si="4"/>
        <v>409559.28333748085</v>
      </c>
      <c r="G39" s="186">
        <f t="shared" si="5"/>
        <v>2230717.9414722361</v>
      </c>
      <c r="H39" s="187">
        <f t="shared" si="6"/>
        <v>2640277.2248097169</v>
      </c>
      <c r="I39" s="178"/>
      <c r="J39" s="48"/>
      <c r="K39" s="49"/>
      <c r="M39" s="772"/>
      <c r="N39" s="46">
        <v>26</v>
      </c>
      <c r="O39" s="47">
        <f t="shared" si="2"/>
        <v>378959.85225468705</v>
      </c>
      <c r="P39" s="47">
        <f t="shared" si="0"/>
        <v>2372205.6479166667</v>
      </c>
      <c r="Q39" s="47">
        <f t="shared" si="3"/>
        <v>166054395.35416645</v>
      </c>
      <c r="R39" s="47">
        <f t="shared" si="1"/>
        <v>2751165.5001713536</v>
      </c>
      <c r="S39" s="47"/>
      <c r="T39" s="48"/>
      <c r="U39" s="49"/>
    </row>
    <row r="40" spans="4:21">
      <c r="D40" s="770"/>
      <c r="E40" s="180">
        <v>23</v>
      </c>
      <c r="F40" s="185">
        <f t="shared" si="4"/>
        <v>404540.16796916828</v>
      </c>
      <c r="G40" s="186">
        <f t="shared" si="5"/>
        <v>2235737.0568405488</v>
      </c>
      <c r="H40" s="187">
        <f t="shared" si="6"/>
        <v>2640277.2248097169</v>
      </c>
      <c r="I40" s="178"/>
      <c r="J40" s="48"/>
      <c r="K40" s="49"/>
      <c r="M40" s="772"/>
      <c r="N40" s="46">
        <v>27</v>
      </c>
      <c r="O40" s="47">
        <f t="shared" si="2"/>
        <v>373622.3895468745</v>
      </c>
      <c r="P40" s="47">
        <f t="shared" si="0"/>
        <v>2372205.6479166667</v>
      </c>
      <c r="Q40" s="47">
        <f t="shared" si="3"/>
        <v>163682189.70624977</v>
      </c>
      <c r="R40" s="47">
        <f t="shared" si="1"/>
        <v>2745828.0374635411</v>
      </c>
      <c r="S40" s="47"/>
      <c r="T40" s="48"/>
      <c r="U40" s="49"/>
    </row>
    <row r="41" spans="4:21" ht="13.5" thickBot="1">
      <c r="D41" s="771"/>
      <c r="E41" s="188">
        <v>24</v>
      </c>
      <c r="F41" s="189">
        <f t="shared" si="4"/>
        <v>399509.75959127716</v>
      </c>
      <c r="G41" s="190">
        <f t="shared" si="5"/>
        <v>2240767.4652184397</v>
      </c>
      <c r="H41" s="191">
        <f t="shared" si="6"/>
        <v>2640277.2248097169</v>
      </c>
      <c r="I41" s="192">
        <f>SUM(F30:F41)</f>
        <v>5123652.1103237867</v>
      </c>
      <c r="J41" s="193">
        <f>SUM(G30:G41)</f>
        <v>26559674.587392818</v>
      </c>
      <c r="K41" s="194">
        <f>I41+J41</f>
        <v>31683326.697716605</v>
      </c>
      <c r="M41" s="772"/>
      <c r="N41" s="46">
        <v>28</v>
      </c>
      <c r="O41" s="47">
        <f t="shared" si="2"/>
        <v>368284.92683906201</v>
      </c>
      <c r="P41" s="47">
        <f t="shared" si="0"/>
        <v>2372205.6479166667</v>
      </c>
      <c r="Q41" s="47">
        <f t="shared" si="3"/>
        <v>161309984.0583331</v>
      </c>
      <c r="R41" s="47">
        <f t="shared" si="1"/>
        <v>2740490.5747557287</v>
      </c>
      <c r="S41" s="47"/>
      <c r="T41" s="48"/>
      <c r="U41" s="49"/>
    </row>
    <row r="42" spans="4:21">
      <c r="D42" s="769">
        <v>3</v>
      </c>
      <c r="E42" s="195">
        <v>25</v>
      </c>
      <c r="F42" s="196">
        <f t="shared" si="4"/>
        <v>394468.03279453557</v>
      </c>
      <c r="G42" s="197">
        <f t="shared" si="5"/>
        <v>2245809.1920151813</v>
      </c>
      <c r="H42" s="198">
        <f t="shared" si="6"/>
        <v>2640277.2248097169</v>
      </c>
      <c r="I42" s="199"/>
      <c r="J42" s="200"/>
      <c r="K42" s="201"/>
      <c r="M42" s="772"/>
      <c r="N42" s="46">
        <v>29</v>
      </c>
      <c r="O42" s="47">
        <f t="shared" si="2"/>
        <v>362947.46413124952</v>
      </c>
      <c r="P42" s="47">
        <f t="shared" si="0"/>
        <v>2372205.6479166667</v>
      </c>
      <c r="Q42" s="47">
        <f t="shared" si="3"/>
        <v>158937778.41041642</v>
      </c>
      <c r="R42" s="47">
        <f t="shared" si="1"/>
        <v>2735153.1120479163</v>
      </c>
      <c r="S42" s="47"/>
      <c r="T42" s="48"/>
      <c r="U42" s="49"/>
    </row>
    <row r="43" spans="4:21">
      <c r="D43" s="770"/>
      <c r="E43" s="180">
        <v>26</v>
      </c>
      <c r="F43" s="185">
        <f t="shared" si="4"/>
        <v>389414.9621125015</v>
      </c>
      <c r="G43" s="186">
        <f t="shared" si="5"/>
        <v>2250862.2626972157</v>
      </c>
      <c r="H43" s="187">
        <f t="shared" si="6"/>
        <v>2640277.2248097174</v>
      </c>
      <c r="I43" s="178"/>
      <c r="J43" s="48"/>
      <c r="K43" s="49"/>
      <c r="M43" s="772"/>
      <c r="N43" s="46">
        <v>30</v>
      </c>
      <c r="O43" s="47">
        <f t="shared" si="2"/>
        <v>357610.00142343692</v>
      </c>
      <c r="P43" s="47">
        <f t="shared" si="0"/>
        <v>2372205.6479166667</v>
      </c>
      <c r="Q43" s="47">
        <f t="shared" si="3"/>
        <v>156565572.76249975</v>
      </c>
      <c r="R43" s="47">
        <f t="shared" si="1"/>
        <v>2729815.6493401034</v>
      </c>
      <c r="S43" s="47"/>
      <c r="T43" s="48"/>
      <c r="U43" s="49"/>
    </row>
    <row r="44" spans="4:21">
      <c r="D44" s="770"/>
      <c r="E44" s="180">
        <v>27</v>
      </c>
      <c r="F44" s="185">
        <f t="shared" si="4"/>
        <v>384350.52202143276</v>
      </c>
      <c r="G44" s="186">
        <f t="shared" si="5"/>
        <v>2255926.702788284</v>
      </c>
      <c r="H44" s="187">
        <f t="shared" si="6"/>
        <v>2640277.2248097169</v>
      </c>
      <c r="I44" s="178"/>
      <c r="J44" s="48"/>
      <c r="K44" s="49"/>
      <c r="M44" s="772"/>
      <c r="N44" s="46">
        <v>31</v>
      </c>
      <c r="O44" s="47">
        <f t="shared" si="2"/>
        <v>352272.53871562443</v>
      </c>
      <c r="P44" s="47">
        <f t="shared" si="0"/>
        <v>2372205.6479166667</v>
      </c>
      <c r="Q44" s="47">
        <f t="shared" si="3"/>
        <v>154193367.11458308</v>
      </c>
      <c r="R44" s="47">
        <f t="shared" si="1"/>
        <v>2724478.1866322909</v>
      </c>
      <c r="S44" s="47"/>
      <c r="T44" s="48"/>
      <c r="U44" s="49"/>
    </row>
    <row r="45" spans="4:21">
      <c r="D45" s="770"/>
      <c r="E45" s="180">
        <v>28</v>
      </c>
      <c r="F45" s="185">
        <f t="shared" si="4"/>
        <v>379274.68694015907</v>
      </c>
      <c r="G45" s="186">
        <f t="shared" si="5"/>
        <v>2261002.5378695577</v>
      </c>
      <c r="H45" s="187">
        <f t="shared" si="6"/>
        <v>2640277.2248097169</v>
      </c>
      <c r="I45" s="178"/>
      <c r="J45" s="48"/>
      <c r="K45" s="49"/>
      <c r="M45" s="772"/>
      <c r="N45" s="46">
        <v>32</v>
      </c>
      <c r="O45" s="47">
        <f t="shared" si="2"/>
        <v>346935.07600781188</v>
      </c>
      <c r="P45" s="47">
        <f t="shared" si="0"/>
        <v>2372205.6479166667</v>
      </c>
      <c r="Q45" s="47">
        <f t="shared" si="3"/>
        <v>151821161.4666664</v>
      </c>
      <c r="R45" s="47">
        <f t="shared" si="1"/>
        <v>2719140.7239244785</v>
      </c>
      <c r="S45" s="47"/>
      <c r="T45" s="48"/>
      <c r="U45" s="49"/>
    </row>
    <row r="46" spans="4:21">
      <c r="D46" s="770"/>
      <c r="E46" s="180">
        <v>29</v>
      </c>
      <c r="F46" s="185">
        <f t="shared" si="4"/>
        <v>374187.43122995255</v>
      </c>
      <c r="G46" s="186">
        <f t="shared" si="5"/>
        <v>2266089.7935797642</v>
      </c>
      <c r="H46" s="187">
        <f t="shared" si="6"/>
        <v>2640277.2248097169</v>
      </c>
      <c r="I46" s="178"/>
      <c r="J46" s="48"/>
      <c r="K46" s="49"/>
      <c r="M46" s="772"/>
      <c r="N46" s="46">
        <v>33</v>
      </c>
      <c r="O46" s="47">
        <f t="shared" si="2"/>
        <v>341597.61329999939</v>
      </c>
      <c r="P46" s="47">
        <f t="shared" si="0"/>
        <v>2372205.6479166667</v>
      </c>
      <c r="Q46" s="47">
        <f t="shared" si="3"/>
        <v>149448955.81874973</v>
      </c>
      <c r="R46" s="47">
        <f t="shared" si="1"/>
        <v>2713803.2612166661</v>
      </c>
      <c r="S46" s="47"/>
      <c r="T46" s="48"/>
      <c r="U46" s="49"/>
    </row>
    <row r="47" spans="4:21">
      <c r="D47" s="770"/>
      <c r="E47" s="180">
        <v>30</v>
      </c>
      <c r="F47" s="185">
        <f t="shared" si="4"/>
        <v>369088.7291943981</v>
      </c>
      <c r="G47" s="186">
        <f t="shared" si="5"/>
        <v>2271188.4956153184</v>
      </c>
      <c r="H47" s="187">
        <f t="shared" si="6"/>
        <v>2640277.2248097165</v>
      </c>
      <c r="I47" s="178"/>
      <c r="J47" s="48"/>
      <c r="K47" s="49"/>
      <c r="M47" s="772"/>
      <c r="N47" s="46">
        <v>34</v>
      </c>
      <c r="O47" s="47">
        <f t="shared" si="2"/>
        <v>336260.1505921869</v>
      </c>
      <c r="P47" s="47">
        <f t="shared" si="0"/>
        <v>2372205.6479166667</v>
      </c>
      <c r="Q47" s="47">
        <f t="shared" si="3"/>
        <v>147076750.17083305</v>
      </c>
      <c r="R47" s="47">
        <f t="shared" si="1"/>
        <v>2708465.7985088537</v>
      </c>
      <c r="S47" s="47"/>
      <c r="T47" s="48"/>
      <c r="U47" s="49"/>
    </row>
    <row r="48" spans="4:21">
      <c r="D48" s="770"/>
      <c r="E48" s="180">
        <v>31</v>
      </c>
      <c r="F48" s="185">
        <f t="shared" si="4"/>
        <v>363978.55507926363</v>
      </c>
      <c r="G48" s="186">
        <f t="shared" si="5"/>
        <v>2276298.6697304533</v>
      </c>
      <c r="H48" s="187">
        <f t="shared" si="6"/>
        <v>2640277.2248097169</v>
      </c>
      <c r="I48" s="178"/>
      <c r="J48" s="48"/>
      <c r="K48" s="49"/>
      <c r="M48" s="772"/>
      <c r="N48" s="46">
        <v>35</v>
      </c>
      <c r="O48" s="47">
        <f t="shared" si="2"/>
        <v>330922.68788437435</v>
      </c>
      <c r="P48" s="47">
        <f t="shared" si="0"/>
        <v>2372205.6479166667</v>
      </c>
      <c r="Q48" s="47">
        <f t="shared" si="3"/>
        <v>144704544.52291638</v>
      </c>
      <c r="R48" s="47">
        <f t="shared" si="1"/>
        <v>2703128.3358010412</v>
      </c>
      <c r="S48" s="47"/>
      <c r="T48" s="48"/>
      <c r="U48" s="49"/>
    </row>
    <row r="49" spans="4:21">
      <c r="D49" s="770"/>
      <c r="E49" s="180">
        <v>32</v>
      </c>
      <c r="F49" s="185">
        <f t="shared" si="4"/>
        <v>358856.88307237008</v>
      </c>
      <c r="G49" s="186">
        <f t="shared" si="5"/>
        <v>2281420.3417373467</v>
      </c>
      <c r="H49" s="187">
        <f t="shared" si="6"/>
        <v>2640277.2248097169</v>
      </c>
      <c r="I49" s="178"/>
      <c r="J49" s="48"/>
      <c r="K49" s="49"/>
      <c r="M49" s="772"/>
      <c r="N49" s="46">
        <v>36</v>
      </c>
      <c r="O49" s="47">
        <f t="shared" si="2"/>
        <v>325585.22517656186</v>
      </c>
      <c r="P49" s="47">
        <f t="shared" si="0"/>
        <v>2372205.6479166667</v>
      </c>
      <c r="Q49" s="47">
        <f t="shared" si="3"/>
        <v>142332338.8749997</v>
      </c>
      <c r="R49" s="47">
        <f t="shared" si="1"/>
        <v>2697790.8730932288</v>
      </c>
      <c r="S49" s="47">
        <f>SUM(O38:O49)</f>
        <v>4259295.2408343684</v>
      </c>
      <c r="T49" s="47">
        <f>SUM(P38:P49)</f>
        <v>28466467.775000002</v>
      </c>
      <c r="U49" s="50">
        <f>S49+T49</f>
        <v>32725763.015834369</v>
      </c>
    </row>
    <row r="50" spans="4:21">
      <c r="D50" s="770"/>
      <c r="E50" s="180">
        <v>33</v>
      </c>
      <c r="F50" s="185">
        <f t="shared" si="4"/>
        <v>353723.68730346108</v>
      </c>
      <c r="G50" s="186">
        <f t="shared" si="5"/>
        <v>2286553.5375062558</v>
      </c>
      <c r="H50" s="187">
        <f t="shared" si="6"/>
        <v>2640277.2248097169</v>
      </c>
      <c r="I50" s="178"/>
      <c r="J50" s="48"/>
      <c r="K50" s="49"/>
      <c r="M50" s="772">
        <v>4</v>
      </c>
      <c r="N50" s="46">
        <v>37</v>
      </c>
      <c r="O50" s="47">
        <f t="shared" si="2"/>
        <v>320247.76246874931</v>
      </c>
      <c r="P50" s="47">
        <f t="shared" si="0"/>
        <v>2372205.6479166667</v>
      </c>
      <c r="Q50" s="47">
        <f t="shared" si="3"/>
        <v>139960133.22708303</v>
      </c>
      <c r="R50" s="47">
        <f t="shared" si="1"/>
        <v>2692453.4103854159</v>
      </c>
      <c r="S50" s="47"/>
      <c r="T50" s="48"/>
      <c r="U50" s="49"/>
    </row>
    <row r="51" spans="4:21">
      <c r="D51" s="770"/>
      <c r="E51" s="180">
        <v>34</v>
      </c>
      <c r="F51" s="185">
        <f t="shared" si="4"/>
        <v>348578.94184407202</v>
      </c>
      <c r="G51" s="186">
        <f t="shared" si="5"/>
        <v>2291698.2829656452</v>
      </c>
      <c r="H51" s="187">
        <f t="shared" si="6"/>
        <v>2640277.2248097174</v>
      </c>
      <c r="I51" s="178"/>
      <c r="J51" s="48"/>
      <c r="K51" s="49"/>
      <c r="M51" s="772"/>
      <c r="N51" s="46">
        <v>38</v>
      </c>
      <c r="O51" s="47">
        <f t="shared" si="2"/>
        <v>314910.29976093682</v>
      </c>
      <c r="P51" s="47">
        <f t="shared" si="0"/>
        <v>2372205.6479166667</v>
      </c>
      <c r="Q51" s="47">
        <f t="shared" si="3"/>
        <v>137587927.57916635</v>
      </c>
      <c r="R51" s="47">
        <f t="shared" si="1"/>
        <v>2687115.9476776035</v>
      </c>
      <c r="S51" s="47"/>
      <c r="T51" s="48"/>
      <c r="U51" s="49"/>
    </row>
    <row r="52" spans="4:21">
      <c r="D52" s="770"/>
      <c r="E52" s="180">
        <v>35</v>
      </c>
      <c r="F52" s="185">
        <f t="shared" si="4"/>
        <v>343422.62070739933</v>
      </c>
      <c r="G52" s="186">
        <f t="shared" si="5"/>
        <v>2296854.6041023172</v>
      </c>
      <c r="H52" s="187">
        <f t="shared" si="6"/>
        <v>2640277.2248097165</v>
      </c>
      <c r="I52" s="178"/>
      <c r="J52" s="48"/>
      <c r="K52" s="49"/>
      <c r="M52" s="772"/>
      <c r="N52" s="46">
        <v>39</v>
      </c>
      <c r="O52" s="47">
        <f t="shared" si="2"/>
        <v>309572.83705312427</v>
      </c>
      <c r="P52" s="47">
        <f t="shared" si="0"/>
        <v>2372205.6479166667</v>
      </c>
      <c r="Q52" s="47">
        <f t="shared" si="3"/>
        <v>135215721.93124968</v>
      </c>
      <c r="R52" s="47">
        <f t="shared" si="1"/>
        <v>2681778.484969791</v>
      </c>
      <c r="S52" s="47"/>
      <c r="T52" s="48"/>
      <c r="U52" s="49"/>
    </row>
    <row r="53" spans="4:21" ht="13.5" thickBot="1">
      <c r="D53" s="771"/>
      <c r="E53" s="188">
        <v>36</v>
      </c>
      <c r="F53" s="189">
        <f t="shared" si="4"/>
        <v>338254.69784816913</v>
      </c>
      <c r="G53" s="190">
        <f t="shared" si="5"/>
        <v>2302022.5269615478</v>
      </c>
      <c r="H53" s="191">
        <f t="shared" si="6"/>
        <v>2640277.2248097169</v>
      </c>
      <c r="I53" s="192">
        <f>SUM(F42:F53)</f>
        <v>4397599.7501477152</v>
      </c>
      <c r="J53" s="193">
        <f>SUM(G42:G53)</f>
        <v>27285726.947568886</v>
      </c>
      <c r="K53" s="194">
        <f>I53+J53</f>
        <v>31683326.697716601</v>
      </c>
      <c r="M53" s="772"/>
      <c r="N53" s="46">
        <v>40</v>
      </c>
      <c r="O53" s="47">
        <f t="shared" si="2"/>
        <v>304235.37434531178</v>
      </c>
      <c r="P53" s="47">
        <f t="shared" si="0"/>
        <v>2372205.6479166667</v>
      </c>
      <c r="Q53" s="47">
        <f t="shared" si="3"/>
        <v>132843516.28333302</v>
      </c>
      <c r="R53" s="47">
        <f t="shared" si="1"/>
        <v>2676441.0222619786</v>
      </c>
      <c r="S53" s="47"/>
      <c r="T53" s="48"/>
      <c r="U53" s="49"/>
    </row>
    <row r="54" spans="4:21">
      <c r="D54" s="769">
        <v>4</v>
      </c>
      <c r="E54" s="195">
        <v>37</v>
      </c>
      <c r="F54" s="196">
        <f t="shared" si="4"/>
        <v>333075.14716250554</v>
      </c>
      <c r="G54" s="197">
        <f t="shared" si="5"/>
        <v>2307202.0776472115</v>
      </c>
      <c r="H54" s="198">
        <f t="shared" si="6"/>
        <v>2640277.2248097169</v>
      </c>
      <c r="I54" s="199"/>
      <c r="J54" s="200"/>
      <c r="K54" s="201"/>
      <c r="M54" s="772"/>
      <c r="N54" s="46">
        <v>41</v>
      </c>
      <c r="O54" s="47">
        <f t="shared" si="2"/>
        <v>298897.91163749929</v>
      </c>
      <c r="P54" s="47">
        <f t="shared" si="0"/>
        <v>2372205.6479166667</v>
      </c>
      <c r="Q54" s="47">
        <f t="shared" si="3"/>
        <v>130471310.63541636</v>
      </c>
      <c r="R54" s="47">
        <f t="shared" si="1"/>
        <v>2671103.5595541662</v>
      </c>
      <c r="S54" s="47"/>
      <c r="T54" s="48"/>
      <c r="U54" s="49"/>
    </row>
    <row r="55" spans="4:21">
      <c r="D55" s="770"/>
      <c r="E55" s="180">
        <v>38</v>
      </c>
      <c r="F55" s="185">
        <f t="shared" si="4"/>
        <v>327883.94248779939</v>
      </c>
      <c r="G55" s="186">
        <f t="shared" si="5"/>
        <v>2312393.2823219174</v>
      </c>
      <c r="H55" s="187">
        <f t="shared" si="6"/>
        <v>2640277.2248097169</v>
      </c>
      <c r="I55" s="178"/>
      <c r="J55" s="48"/>
      <c r="K55" s="49"/>
      <c r="M55" s="772"/>
      <c r="N55" s="46">
        <v>42</v>
      </c>
      <c r="O55" s="47">
        <f t="shared" si="2"/>
        <v>293560.4489296868</v>
      </c>
      <c r="P55" s="47">
        <f t="shared" si="0"/>
        <v>2372205.6479166667</v>
      </c>
      <c r="Q55" s="47">
        <f t="shared" si="3"/>
        <v>128099104.9874997</v>
      </c>
      <c r="R55" s="47">
        <f t="shared" si="1"/>
        <v>2665766.0968463533</v>
      </c>
      <c r="S55" s="47"/>
      <c r="T55" s="48"/>
      <c r="U55" s="49"/>
    </row>
    <row r="56" spans="4:21">
      <c r="D56" s="770"/>
      <c r="E56" s="180">
        <v>39</v>
      </c>
      <c r="F56" s="185">
        <f t="shared" si="4"/>
        <v>322681.05760257505</v>
      </c>
      <c r="G56" s="186">
        <f t="shared" si="5"/>
        <v>2317596.1672071414</v>
      </c>
      <c r="H56" s="187">
        <f t="shared" si="6"/>
        <v>2640277.2248097165</v>
      </c>
      <c r="I56" s="178"/>
      <c r="J56" s="48"/>
      <c r="K56" s="49"/>
      <c r="M56" s="772"/>
      <c r="N56" s="46">
        <v>43</v>
      </c>
      <c r="O56" s="47">
        <f t="shared" si="2"/>
        <v>288222.98622187431</v>
      </c>
      <c r="P56" s="47">
        <f t="shared" si="0"/>
        <v>2372205.6479166667</v>
      </c>
      <c r="Q56" s="47">
        <f t="shared" si="3"/>
        <v>125726899.33958304</v>
      </c>
      <c r="R56" s="47">
        <f t="shared" si="1"/>
        <v>2660428.6341385408</v>
      </c>
      <c r="S56" s="47"/>
      <c r="T56" s="48"/>
      <c r="U56" s="49"/>
    </row>
    <row r="57" spans="4:21">
      <c r="D57" s="770"/>
      <c r="E57" s="180">
        <v>40</v>
      </c>
      <c r="F57" s="185">
        <f t="shared" si="4"/>
        <v>317466.46622635896</v>
      </c>
      <c r="G57" s="186">
        <f t="shared" si="5"/>
        <v>2322810.758583358</v>
      </c>
      <c r="H57" s="187">
        <f t="shared" si="6"/>
        <v>2640277.2248097169</v>
      </c>
      <c r="I57" s="178"/>
      <c r="J57" s="48"/>
      <c r="K57" s="49"/>
      <c r="M57" s="772"/>
      <c r="N57" s="46">
        <v>44</v>
      </c>
      <c r="O57" s="47">
        <f t="shared" si="2"/>
        <v>282885.52351406182</v>
      </c>
      <c r="P57" s="47">
        <f t="shared" si="0"/>
        <v>2372205.6479166667</v>
      </c>
      <c r="Q57" s="47">
        <f t="shared" si="3"/>
        <v>123354693.69166638</v>
      </c>
      <c r="R57" s="47">
        <f t="shared" si="1"/>
        <v>2655091.1714307284</v>
      </c>
      <c r="S57" s="47"/>
      <c r="T57" s="48"/>
      <c r="U57" s="49"/>
    </row>
    <row r="58" spans="4:21">
      <c r="D58" s="770"/>
      <c r="E58" s="180">
        <v>41</v>
      </c>
      <c r="F58" s="185">
        <f t="shared" si="4"/>
        <v>312240.14201954647</v>
      </c>
      <c r="G58" s="186">
        <f t="shared" si="5"/>
        <v>2328037.0827901703</v>
      </c>
      <c r="H58" s="187">
        <f t="shared" si="6"/>
        <v>2640277.2248097169</v>
      </c>
      <c r="I58" s="178"/>
      <c r="J58" s="48"/>
      <c r="K58" s="49"/>
      <c r="M58" s="772"/>
      <c r="N58" s="46">
        <v>45</v>
      </c>
      <c r="O58" s="47">
        <f t="shared" si="2"/>
        <v>277548.06080624933</v>
      </c>
      <c r="P58" s="47">
        <f t="shared" si="0"/>
        <v>2372205.6479166667</v>
      </c>
      <c r="Q58" s="47">
        <f t="shared" si="3"/>
        <v>120982488.04374972</v>
      </c>
      <c r="R58" s="47">
        <f t="shared" si="1"/>
        <v>2649753.708722916</v>
      </c>
      <c r="S58" s="47"/>
      <c r="T58" s="48"/>
      <c r="U58" s="49"/>
    </row>
    <row r="59" spans="4:21">
      <c r="D59" s="770"/>
      <c r="E59" s="180">
        <v>42</v>
      </c>
      <c r="F59" s="185">
        <f t="shared" si="4"/>
        <v>307002.05858326855</v>
      </c>
      <c r="G59" s="186">
        <f t="shared" si="5"/>
        <v>2333275.166226448</v>
      </c>
      <c r="H59" s="187">
        <f t="shared" si="6"/>
        <v>2640277.2248097165</v>
      </c>
      <c r="I59" s="178"/>
      <c r="J59" s="48"/>
      <c r="K59" s="49"/>
      <c r="M59" s="772"/>
      <c r="N59" s="46">
        <v>46</v>
      </c>
      <c r="O59" s="47">
        <f t="shared" si="2"/>
        <v>272210.59809843689</v>
      </c>
      <c r="P59" s="47">
        <f t="shared" si="0"/>
        <v>2372205.6479166667</v>
      </c>
      <c r="Q59" s="47">
        <f t="shared" si="3"/>
        <v>118610282.39583306</v>
      </c>
      <c r="R59" s="47">
        <f t="shared" si="1"/>
        <v>2644416.2460151035</v>
      </c>
      <c r="S59" s="47"/>
      <c r="T59" s="48"/>
      <c r="U59" s="49"/>
    </row>
    <row r="60" spans="4:21">
      <c r="D60" s="770"/>
      <c r="E60" s="180">
        <v>43</v>
      </c>
      <c r="F60" s="185">
        <f t="shared" si="4"/>
        <v>301752.18945925904</v>
      </c>
      <c r="G60" s="186">
        <f t="shared" si="5"/>
        <v>2338525.0353504578</v>
      </c>
      <c r="H60" s="187">
        <f t="shared" si="6"/>
        <v>2640277.2248097169</v>
      </c>
      <c r="I60" s="178"/>
      <c r="J60" s="48"/>
      <c r="K60" s="49"/>
      <c r="M60" s="772"/>
      <c r="N60" s="46">
        <v>47</v>
      </c>
      <c r="O60" s="47">
        <f t="shared" si="2"/>
        <v>266873.13539062435</v>
      </c>
      <c r="P60" s="47">
        <f t="shared" si="0"/>
        <v>2372205.6479166667</v>
      </c>
      <c r="Q60" s="47">
        <f t="shared" si="3"/>
        <v>116238076.7479164</v>
      </c>
      <c r="R60" s="47">
        <f t="shared" si="1"/>
        <v>2639078.7833072911</v>
      </c>
      <c r="S60" s="47"/>
      <c r="T60" s="48"/>
      <c r="U60" s="49"/>
    </row>
    <row r="61" spans="4:21">
      <c r="D61" s="770"/>
      <c r="E61" s="180">
        <v>44</v>
      </c>
      <c r="F61" s="185">
        <f t="shared" si="4"/>
        <v>296490.50812972058</v>
      </c>
      <c r="G61" s="186">
        <f t="shared" si="5"/>
        <v>2343786.7166799963</v>
      </c>
      <c r="H61" s="187">
        <f t="shared" si="6"/>
        <v>2640277.2248097169</v>
      </c>
      <c r="I61" s="178"/>
      <c r="J61" s="48"/>
      <c r="K61" s="49"/>
      <c r="M61" s="772"/>
      <c r="N61" s="46">
        <v>48</v>
      </c>
      <c r="O61" s="47">
        <f t="shared" si="2"/>
        <v>261535.67268281188</v>
      </c>
      <c r="P61" s="47">
        <f t="shared" si="0"/>
        <v>2372205.6479166667</v>
      </c>
      <c r="Q61" s="47">
        <f t="shared" si="3"/>
        <v>113865871.09999974</v>
      </c>
      <c r="R61" s="47">
        <f t="shared" si="1"/>
        <v>2633741.3205994787</v>
      </c>
      <c r="S61" s="47">
        <f>SUM(O50:O61)</f>
        <v>3490700.6109093665</v>
      </c>
      <c r="T61" s="47">
        <f>SUM(P50:P61)</f>
        <v>28466467.775000002</v>
      </c>
      <c r="U61" s="50">
        <f>S61+T61</f>
        <v>31957168.385909367</v>
      </c>
    </row>
    <row r="62" spans="4:21">
      <c r="D62" s="770"/>
      <c r="E62" s="180">
        <v>45</v>
      </c>
      <c r="F62" s="185">
        <f t="shared" si="4"/>
        <v>291216.98801719054</v>
      </c>
      <c r="G62" s="186">
        <f t="shared" si="5"/>
        <v>2349060.2367925262</v>
      </c>
      <c r="H62" s="187">
        <f t="shared" si="6"/>
        <v>2640277.2248097169</v>
      </c>
      <c r="I62" s="178"/>
      <c r="J62" s="48"/>
      <c r="K62" s="49"/>
      <c r="M62" s="772">
        <v>5</v>
      </c>
      <c r="N62" s="46">
        <v>49</v>
      </c>
      <c r="O62" s="47">
        <f t="shared" si="2"/>
        <v>256198.20997499942</v>
      </c>
      <c r="P62" s="47">
        <f t="shared" si="0"/>
        <v>2372205.6479166667</v>
      </c>
      <c r="Q62" s="47">
        <f t="shared" si="3"/>
        <v>111493665.45208308</v>
      </c>
      <c r="R62" s="47">
        <f t="shared" si="1"/>
        <v>2628403.8578916662</v>
      </c>
      <c r="S62" s="47"/>
      <c r="T62" s="48"/>
      <c r="U62" s="49"/>
    </row>
    <row r="63" spans="4:21">
      <c r="D63" s="770"/>
      <c r="E63" s="180">
        <v>46</v>
      </c>
      <c r="F63" s="185">
        <f t="shared" si="4"/>
        <v>285931.60248440731</v>
      </c>
      <c r="G63" s="186">
        <f t="shared" si="5"/>
        <v>2354345.6223253096</v>
      </c>
      <c r="H63" s="187">
        <f t="shared" si="6"/>
        <v>2640277.2248097169</v>
      </c>
      <c r="I63" s="178"/>
      <c r="J63" s="48"/>
      <c r="K63" s="49"/>
      <c r="M63" s="772"/>
      <c r="N63" s="46">
        <v>50</v>
      </c>
      <c r="O63" s="47">
        <f t="shared" si="2"/>
        <v>250860.7472671869</v>
      </c>
      <c r="P63" s="47">
        <f t="shared" si="0"/>
        <v>2372205.6479166667</v>
      </c>
      <c r="Q63" s="47">
        <f t="shared" si="3"/>
        <v>109121459.80416642</v>
      </c>
      <c r="R63" s="47">
        <f t="shared" si="1"/>
        <v>2623066.3951838538</v>
      </c>
      <c r="S63" s="47"/>
      <c r="T63" s="48"/>
      <c r="U63" s="49"/>
    </row>
    <row r="64" spans="4:21">
      <c r="D64" s="770"/>
      <c r="E64" s="180">
        <v>47</v>
      </c>
      <c r="F64" s="185">
        <f t="shared" si="4"/>
        <v>280634.32483417541</v>
      </c>
      <c r="G64" s="186">
        <f t="shared" si="5"/>
        <v>2359642.8999755415</v>
      </c>
      <c r="H64" s="187">
        <f t="shared" si="6"/>
        <v>2640277.2248097169</v>
      </c>
      <c r="I64" s="178"/>
      <c r="J64" s="48"/>
      <c r="K64" s="49"/>
      <c r="M64" s="772"/>
      <c r="N64" s="46">
        <v>51</v>
      </c>
      <c r="O64" s="47">
        <f t="shared" si="2"/>
        <v>245523.28455937444</v>
      </c>
      <c r="P64" s="47">
        <f t="shared" si="0"/>
        <v>2372205.6479166667</v>
      </c>
      <c r="Q64" s="47">
        <f t="shared" si="3"/>
        <v>106749254.15624976</v>
      </c>
      <c r="R64" s="47">
        <f t="shared" si="1"/>
        <v>2617728.9324760409</v>
      </c>
      <c r="S64" s="47"/>
      <c r="T64" s="48"/>
      <c r="U64" s="49"/>
    </row>
    <row r="65" spans="4:21" ht="13.5" thickBot="1">
      <c r="D65" s="771"/>
      <c r="E65" s="188">
        <v>48</v>
      </c>
      <c r="F65" s="189">
        <f t="shared" si="4"/>
        <v>275325.12830923044</v>
      </c>
      <c r="G65" s="190">
        <f t="shared" si="5"/>
        <v>2364952.0965004861</v>
      </c>
      <c r="H65" s="191">
        <f t="shared" si="6"/>
        <v>2640277.2248097165</v>
      </c>
      <c r="I65" s="192">
        <f>SUM(F54:F65)</f>
        <v>3651699.5553160375</v>
      </c>
      <c r="J65" s="193">
        <f>SUM(G54:G65)</f>
        <v>28031627.142400566</v>
      </c>
      <c r="K65" s="194">
        <f>I65+J65</f>
        <v>31683326.697716605</v>
      </c>
      <c r="M65" s="772"/>
      <c r="N65" s="46">
        <v>52</v>
      </c>
      <c r="O65" s="47">
        <f t="shared" si="2"/>
        <v>240185.82185156198</v>
      </c>
      <c r="P65" s="47">
        <f t="shared" si="0"/>
        <v>2372205.6479166667</v>
      </c>
      <c r="Q65" s="47">
        <f t="shared" si="3"/>
        <v>104377048.5083331</v>
      </c>
      <c r="R65" s="47">
        <f t="shared" si="1"/>
        <v>2612391.4697682285</v>
      </c>
      <c r="S65" s="47"/>
      <c r="T65" s="48"/>
      <c r="U65" s="49"/>
    </row>
    <row r="66" spans="4:21">
      <c r="D66" s="769">
        <v>5</v>
      </c>
      <c r="E66" s="195">
        <v>49</v>
      </c>
      <c r="F66" s="196">
        <f t="shared" si="4"/>
        <v>270003.98609210429</v>
      </c>
      <c r="G66" s="197">
        <f t="shared" si="5"/>
        <v>2370273.2387176123</v>
      </c>
      <c r="H66" s="198">
        <f t="shared" si="6"/>
        <v>2640277.2248097165</v>
      </c>
      <c r="I66" s="199"/>
      <c r="J66" s="200"/>
      <c r="K66" s="201"/>
      <c r="M66" s="772"/>
      <c r="N66" s="46">
        <v>53</v>
      </c>
      <c r="O66" s="47">
        <f t="shared" si="2"/>
        <v>234848.35914374946</v>
      </c>
      <c r="P66" s="47">
        <f t="shared" si="0"/>
        <v>2372205.6479166667</v>
      </c>
      <c r="Q66" s="47">
        <f t="shared" si="3"/>
        <v>102004842.86041644</v>
      </c>
      <c r="R66" s="47">
        <f t="shared" si="1"/>
        <v>2607054.007060416</v>
      </c>
      <c r="S66" s="47"/>
      <c r="T66" s="48"/>
      <c r="U66" s="49"/>
    </row>
    <row r="67" spans="4:21">
      <c r="D67" s="770"/>
      <c r="E67" s="180">
        <v>50</v>
      </c>
      <c r="F67" s="185">
        <f t="shared" si="4"/>
        <v>264670.87130498973</v>
      </c>
      <c r="G67" s="186">
        <f t="shared" si="5"/>
        <v>2375606.3535047271</v>
      </c>
      <c r="H67" s="187">
        <f t="shared" si="6"/>
        <v>2640277.2248097169</v>
      </c>
      <c r="I67" s="178"/>
      <c r="J67" s="48"/>
      <c r="K67" s="49"/>
      <c r="M67" s="772"/>
      <c r="N67" s="46">
        <v>54</v>
      </c>
      <c r="O67" s="47">
        <f t="shared" si="2"/>
        <v>229510.896435937</v>
      </c>
      <c r="P67" s="47">
        <f t="shared" si="0"/>
        <v>2372205.6479166667</v>
      </c>
      <c r="Q67" s="47">
        <f t="shared" si="3"/>
        <v>99632637.212499782</v>
      </c>
      <c r="R67" s="47">
        <f t="shared" si="1"/>
        <v>2601716.5443526036</v>
      </c>
      <c r="S67" s="47"/>
      <c r="T67" s="48"/>
      <c r="U67" s="49"/>
    </row>
    <row r="68" spans="4:21">
      <c r="D68" s="770"/>
      <c r="E68" s="180">
        <v>51</v>
      </c>
      <c r="F68" s="185">
        <f t="shared" si="4"/>
        <v>259325.7570096041</v>
      </c>
      <c r="G68" s="186">
        <f t="shared" si="5"/>
        <v>2380951.4678001129</v>
      </c>
      <c r="H68" s="187">
        <f t="shared" si="6"/>
        <v>2640277.2248097169</v>
      </c>
      <c r="I68" s="178"/>
      <c r="J68" s="48"/>
      <c r="K68" s="49"/>
      <c r="M68" s="772"/>
      <c r="N68" s="46">
        <v>55</v>
      </c>
      <c r="O68" s="47">
        <f t="shared" si="2"/>
        <v>224173.43372812451</v>
      </c>
      <c r="P68" s="47">
        <f t="shared" si="0"/>
        <v>2372205.6479166667</v>
      </c>
      <c r="Q68" s="47">
        <f t="shared" si="3"/>
        <v>97260431.564583123</v>
      </c>
      <c r="R68" s="47">
        <f t="shared" si="1"/>
        <v>2596379.0816447912</v>
      </c>
      <c r="S68" s="47"/>
      <c r="T68" s="48"/>
      <c r="U68" s="49"/>
    </row>
    <row r="69" spans="4:21">
      <c r="D69" s="770"/>
      <c r="E69" s="180">
        <v>52</v>
      </c>
      <c r="F69" s="185">
        <f t="shared" si="4"/>
        <v>253968.61620705383</v>
      </c>
      <c r="G69" s="186">
        <f t="shared" si="5"/>
        <v>2386308.608602663</v>
      </c>
      <c r="H69" s="187">
        <f t="shared" si="6"/>
        <v>2640277.2248097169</v>
      </c>
      <c r="I69" s="178"/>
      <c r="J69" s="48"/>
      <c r="K69" s="49"/>
      <c r="M69" s="772"/>
      <c r="N69" s="46">
        <v>56</v>
      </c>
      <c r="O69" s="47">
        <f t="shared" si="2"/>
        <v>218835.97102031202</v>
      </c>
      <c r="P69" s="47">
        <f t="shared" si="0"/>
        <v>2372205.6479166667</v>
      </c>
      <c r="Q69" s="47">
        <f t="shared" si="3"/>
        <v>94888225.916666463</v>
      </c>
      <c r="R69" s="47">
        <f t="shared" si="1"/>
        <v>2591041.6189369787</v>
      </c>
      <c r="S69" s="47"/>
      <c r="T69" s="48"/>
      <c r="U69" s="49"/>
    </row>
    <row r="70" spans="4:21">
      <c r="D70" s="770"/>
      <c r="E70" s="180">
        <v>53</v>
      </c>
      <c r="F70" s="185">
        <f t="shared" si="4"/>
        <v>248599.42183769782</v>
      </c>
      <c r="G70" s="186">
        <f t="shared" si="5"/>
        <v>2391677.8029720192</v>
      </c>
      <c r="H70" s="187">
        <f t="shared" si="6"/>
        <v>2640277.2248097169</v>
      </c>
      <c r="I70" s="178"/>
      <c r="J70" s="48"/>
      <c r="K70" s="49"/>
      <c r="M70" s="772"/>
      <c r="N70" s="46">
        <v>57</v>
      </c>
      <c r="O70" s="47">
        <f t="shared" si="2"/>
        <v>213498.50831249953</v>
      </c>
      <c r="P70" s="47">
        <f t="shared" si="0"/>
        <v>2372205.6479166667</v>
      </c>
      <c r="Q70" s="47">
        <f t="shared" si="3"/>
        <v>92516020.268749803</v>
      </c>
      <c r="R70" s="47">
        <f t="shared" si="1"/>
        <v>2585704.1562291663</v>
      </c>
      <c r="S70" s="47"/>
      <c r="T70" s="48"/>
      <c r="U70" s="49"/>
    </row>
    <row r="71" spans="4:21">
      <c r="D71" s="770"/>
      <c r="E71" s="180">
        <v>54</v>
      </c>
      <c r="F71" s="185">
        <f t="shared" si="4"/>
        <v>243218.14678101082</v>
      </c>
      <c r="G71" s="186">
        <f t="shared" si="5"/>
        <v>2397059.0780287059</v>
      </c>
      <c r="H71" s="187">
        <f t="shared" si="6"/>
        <v>2640277.2248097169</v>
      </c>
      <c r="I71" s="178"/>
      <c r="J71" s="48"/>
      <c r="K71" s="49"/>
      <c r="M71" s="772"/>
      <c r="N71" s="46">
        <v>58</v>
      </c>
      <c r="O71" s="47">
        <f t="shared" si="2"/>
        <v>208161.04560468707</v>
      </c>
      <c r="P71" s="47">
        <f t="shared" si="0"/>
        <v>2372205.6479166667</v>
      </c>
      <c r="Q71" s="47">
        <f t="shared" si="3"/>
        <v>90143814.620833144</v>
      </c>
      <c r="R71" s="47">
        <f t="shared" si="1"/>
        <v>2580366.6935213539</v>
      </c>
      <c r="S71" s="47"/>
      <c r="T71" s="48"/>
      <c r="U71" s="49"/>
    </row>
    <row r="72" spans="4:21">
      <c r="D72" s="770"/>
      <c r="E72" s="180">
        <v>55</v>
      </c>
      <c r="F72" s="185">
        <f t="shared" si="4"/>
        <v>237824.76385544625</v>
      </c>
      <c r="G72" s="186">
        <f t="shared" si="5"/>
        <v>2402452.4609542708</v>
      </c>
      <c r="H72" s="187">
        <f t="shared" si="6"/>
        <v>2640277.2248097169</v>
      </c>
      <c r="I72" s="178"/>
      <c r="J72" s="48"/>
      <c r="K72" s="49"/>
      <c r="M72" s="772"/>
      <c r="N72" s="46">
        <v>59</v>
      </c>
      <c r="O72" s="47">
        <f t="shared" si="2"/>
        <v>202823.58289687455</v>
      </c>
      <c r="P72" s="47">
        <f t="shared" si="0"/>
        <v>2372205.6479166667</v>
      </c>
      <c r="Q72" s="47">
        <f t="shared" si="3"/>
        <v>87771608.972916484</v>
      </c>
      <c r="R72" s="47">
        <f t="shared" si="1"/>
        <v>2575029.2308135414</v>
      </c>
      <c r="S72" s="47"/>
      <c r="T72" s="48"/>
      <c r="U72" s="49"/>
    </row>
    <row r="73" spans="4:21">
      <c r="D73" s="770"/>
      <c r="E73" s="180">
        <v>56</v>
      </c>
      <c r="F73" s="185">
        <f t="shared" si="4"/>
        <v>232419.24581829907</v>
      </c>
      <c r="G73" s="186">
        <f t="shared" si="5"/>
        <v>2407857.9789914177</v>
      </c>
      <c r="H73" s="187">
        <f t="shared" si="6"/>
        <v>2640277.2248097169</v>
      </c>
      <c r="I73" s="178"/>
      <c r="J73" s="48"/>
      <c r="K73" s="49"/>
      <c r="M73" s="772"/>
      <c r="N73" s="46">
        <v>60</v>
      </c>
      <c r="O73" s="47">
        <f t="shared" si="2"/>
        <v>197486.12018906209</v>
      </c>
      <c r="P73" s="47">
        <f t="shared" si="0"/>
        <v>2372205.6479166667</v>
      </c>
      <c r="Q73" s="47">
        <f t="shared" si="3"/>
        <v>85399403.324999824</v>
      </c>
      <c r="R73" s="47">
        <f t="shared" si="1"/>
        <v>2569691.7681057286</v>
      </c>
      <c r="S73" s="47">
        <f>SUM(O62:O73)</f>
        <v>2722105.9809843693</v>
      </c>
      <c r="T73" s="47">
        <f>SUM(P62:P73)</f>
        <v>28466467.775000002</v>
      </c>
      <c r="U73" s="50">
        <f>S73+T73</f>
        <v>31188573.755984373</v>
      </c>
    </row>
    <row r="74" spans="4:21">
      <c r="D74" s="770"/>
      <c r="E74" s="180">
        <v>57</v>
      </c>
      <c r="F74" s="185">
        <f t="shared" si="4"/>
        <v>227001.56536556841</v>
      </c>
      <c r="G74" s="186">
        <f t="shared" si="5"/>
        <v>2413275.6594441487</v>
      </c>
      <c r="H74" s="187">
        <f t="shared" si="6"/>
        <v>2640277.2248097169</v>
      </c>
      <c r="I74" s="178"/>
      <c r="J74" s="48"/>
      <c r="K74" s="49"/>
      <c r="M74" s="772">
        <v>6</v>
      </c>
      <c r="N74" s="46">
        <v>61</v>
      </c>
      <c r="O74" s="47">
        <f t="shared" si="2"/>
        <v>192148.65748124963</v>
      </c>
      <c r="P74" s="47">
        <f t="shared" si="0"/>
        <v>2372205.6479166667</v>
      </c>
      <c r="Q74" s="47">
        <f t="shared" si="3"/>
        <v>83027197.677083164</v>
      </c>
      <c r="R74" s="47">
        <f t="shared" si="1"/>
        <v>2564354.3053979161</v>
      </c>
      <c r="S74" s="47"/>
      <c r="T74" s="48"/>
      <c r="U74" s="49"/>
    </row>
    <row r="75" spans="4:21">
      <c r="D75" s="770"/>
      <c r="E75" s="180">
        <v>58</v>
      </c>
      <c r="F75" s="185">
        <f t="shared" si="4"/>
        <v>221571.69513181908</v>
      </c>
      <c r="G75" s="186">
        <f t="shared" si="5"/>
        <v>2418705.5296778977</v>
      </c>
      <c r="H75" s="187">
        <f t="shared" si="6"/>
        <v>2640277.2248097169</v>
      </c>
      <c r="I75" s="178"/>
      <c r="J75" s="48"/>
      <c r="K75" s="49"/>
      <c r="M75" s="772"/>
      <c r="N75" s="46">
        <v>62</v>
      </c>
      <c r="O75" s="47">
        <f t="shared" si="2"/>
        <v>186811.19477343711</v>
      </c>
      <c r="P75" s="47">
        <f t="shared" si="0"/>
        <v>2372205.6479166667</v>
      </c>
      <c r="Q75" s="47">
        <f t="shared" si="3"/>
        <v>80654992.029166505</v>
      </c>
      <c r="R75" s="47">
        <f t="shared" si="1"/>
        <v>2559016.8426901037</v>
      </c>
      <c r="S75" s="47"/>
      <c r="T75" s="48"/>
      <c r="U75" s="49"/>
    </row>
    <row r="76" spans="4:21">
      <c r="D76" s="770"/>
      <c r="E76" s="180">
        <v>59</v>
      </c>
      <c r="F76" s="185">
        <f t="shared" si="4"/>
        <v>216129.60769004381</v>
      </c>
      <c r="G76" s="186">
        <f t="shared" si="5"/>
        <v>2424147.6171196727</v>
      </c>
      <c r="H76" s="187">
        <f t="shared" si="6"/>
        <v>2640277.2248097165</v>
      </c>
      <c r="I76" s="178"/>
      <c r="J76" s="48"/>
      <c r="K76" s="49"/>
      <c r="M76" s="772"/>
      <c r="N76" s="46">
        <v>63</v>
      </c>
      <c r="O76" s="47">
        <f t="shared" si="2"/>
        <v>181473.73206562464</v>
      </c>
      <c r="P76" s="47">
        <f t="shared" si="0"/>
        <v>2372205.6479166667</v>
      </c>
      <c r="Q76" s="47">
        <f t="shared" si="3"/>
        <v>78282786.381249845</v>
      </c>
      <c r="R76" s="47">
        <f t="shared" si="1"/>
        <v>2553679.3799822913</v>
      </c>
      <c r="S76" s="47"/>
      <c r="T76" s="48"/>
      <c r="U76" s="49"/>
    </row>
    <row r="77" spans="4:21" ht="13.5" thickBot="1">
      <c r="D77" s="771"/>
      <c r="E77" s="188">
        <v>60</v>
      </c>
      <c r="F77" s="189">
        <f t="shared" si="4"/>
        <v>210675.27555152454</v>
      </c>
      <c r="G77" s="190">
        <f t="shared" si="5"/>
        <v>2429601.9492581924</v>
      </c>
      <c r="H77" s="191">
        <f t="shared" si="6"/>
        <v>2640277.2248097169</v>
      </c>
      <c r="I77" s="192">
        <f>SUM(F66:F77)</f>
        <v>2885408.9526451617</v>
      </c>
      <c r="J77" s="193">
        <f>SUM(G66:G77)</f>
        <v>28797917.745071445</v>
      </c>
      <c r="K77" s="194">
        <f>I77+J77</f>
        <v>31683326.697716605</v>
      </c>
      <c r="M77" s="772"/>
      <c r="N77" s="46">
        <v>64</v>
      </c>
      <c r="O77" s="47">
        <f t="shared" si="2"/>
        <v>176136.26935781215</v>
      </c>
      <c r="P77" s="47">
        <f t="shared" si="0"/>
        <v>2372205.6479166667</v>
      </c>
      <c r="Q77" s="47">
        <f t="shared" si="3"/>
        <v>75910580.733333185</v>
      </c>
      <c r="R77" s="47">
        <f t="shared" si="1"/>
        <v>2548341.9172744788</v>
      </c>
      <c r="S77" s="47"/>
      <c r="T77" s="48"/>
      <c r="U77" s="49"/>
    </row>
    <row r="78" spans="4:21">
      <c r="D78" s="769">
        <v>6</v>
      </c>
      <c r="E78" s="195">
        <v>61</v>
      </c>
      <c r="F78" s="196">
        <f t="shared" si="4"/>
        <v>205208.67116569361</v>
      </c>
      <c r="G78" s="197">
        <f t="shared" si="5"/>
        <v>2435068.5536440229</v>
      </c>
      <c r="H78" s="198">
        <f t="shared" si="6"/>
        <v>2640277.2248097165</v>
      </c>
      <c r="I78" s="199"/>
      <c r="J78" s="200"/>
      <c r="K78" s="201"/>
      <c r="M78" s="772"/>
      <c r="N78" s="46">
        <v>65</v>
      </c>
      <c r="O78" s="47">
        <f t="shared" si="2"/>
        <v>170798.80664999966</v>
      </c>
      <c r="P78" s="47">
        <f t="shared" si="0"/>
        <v>2372205.6479166667</v>
      </c>
      <c r="Q78" s="47">
        <f t="shared" si="3"/>
        <v>73538375.085416526</v>
      </c>
      <c r="R78" s="47">
        <f t="shared" si="1"/>
        <v>2543004.4545666664</v>
      </c>
      <c r="S78" s="47"/>
      <c r="T78" s="48"/>
      <c r="U78" s="49"/>
    </row>
    <row r="79" spans="4:21">
      <c r="D79" s="770"/>
      <c r="E79" s="180">
        <v>62</v>
      </c>
      <c r="F79" s="185">
        <f t="shared" si="4"/>
        <v>199729.76691999458</v>
      </c>
      <c r="G79" s="186">
        <f t="shared" si="5"/>
        <v>2440547.4578897227</v>
      </c>
      <c r="H79" s="187">
        <f t="shared" si="6"/>
        <v>2640277.2248097174</v>
      </c>
      <c r="I79" s="178"/>
      <c r="J79" s="48"/>
      <c r="K79" s="49"/>
      <c r="M79" s="772"/>
      <c r="N79" s="46">
        <v>66</v>
      </c>
      <c r="O79" s="47">
        <f t="shared" si="2"/>
        <v>165461.34394218717</v>
      </c>
      <c r="P79" s="47">
        <f t="shared" ref="P79:P142" si="7">IF($N79&gt;$Q$4,0,$O$4/$Q$4)</f>
        <v>2372205.6479166667</v>
      </c>
      <c r="Q79" s="47">
        <f t="shared" si="3"/>
        <v>71166169.437499866</v>
      </c>
      <c r="R79" s="47">
        <f t="shared" ref="R79:R142" si="8">O79+P79</f>
        <v>2537666.991858854</v>
      </c>
      <c r="S79" s="47"/>
      <c r="T79" s="48"/>
      <c r="U79" s="49"/>
    </row>
    <row r="80" spans="4:21">
      <c r="D80" s="770"/>
      <c r="E80" s="180">
        <v>63</v>
      </c>
      <c r="F80" s="185">
        <f t="shared" si="4"/>
        <v>194238.53513974271</v>
      </c>
      <c r="G80" s="186">
        <f t="shared" si="5"/>
        <v>2446038.6896699741</v>
      </c>
      <c r="H80" s="187">
        <f t="shared" si="6"/>
        <v>2640277.2248097169</v>
      </c>
      <c r="I80" s="178"/>
      <c r="J80" s="48"/>
      <c r="K80" s="49"/>
      <c r="M80" s="772"/>
      <c r="N80" s="46">
        <v>67</v>
      </c>
      <c r="O80" s="47">
        <f t="shared" ref="O80:O143" si="9">Q79*$P$4/12</f>
        <v>160123.88123437468</v>
      </c>
      <c r="P80" s="47">
        <f t="shared" si="7"/>
        <v>2372205.6479166667</v>
      </c>
      <c r="Q80" s="47">
        <f t="shared" ref="Q80:Q143" si="10">Q79-P80</f>
        <v>68793963.789583206</v>
      </c>
      <c r="R80" s="47">
        <f t="shared" si="8"/>
        <v>2532329.5291510415</v>
      </c>
      <c r="S80" s="47"/>
      <c r="T80" s="48"/>
      <c r="U80" s="49"/>
    </row>
    <row r="81" spans="4:21">
      <c r="D81" s="770"/>
      <c r="E81" s="180">
        <v>64</v>
      </c>
      <c r="F81" s="185">
        <f t="shared" si="4"/>
        <v>188734.94808798525</v>
      </c>
      <c r="G81" s="186">
        <f t="shared" si="5"/>
        <v>2451542.2767217318</v>
      </c>
      <c r="H81" s="187">
        <f t="shared" si="6"/>
        <v>2640277.2248097169</v>
      </c>
      <c r="I81" s="178"/>
      <c r="J81" s="48"/>
      <c r="K81" s="49"/>
      <c r="M81" s="772"/>
      <c r="N81" s="46">
        <v>68</v>
      </c>
      <c r="O81" s="47">
        <f t="shared" si="9"/>
        <v>154786.41852656222</v>
      </c>
      <c r="P81" s="47">
        <f t="shared" si="7"/>
        <v>2372205.6479166667</v>
      </c>
      <c r="Q81" s="47">
        <f t="shared" si="10"/>
        <v>66421758.141666539</v>
      </c>
      <c r="R81" s="47">
        <f t="shared" si="8"/>
        <v>2526992.0664432291</v>
      </c>
      <c r="S81" s="47"/>
      <c r="T81" s="48"/>
      <c r="U81" s="49"/>
    </row>
    <row r="82" spans="4:21">
      <c r="D82" s="770"/>
      <c r="E82" s="180">
        <v>65</v>
      </c>
      <c r="F82" s="185">
        <f t="shared" si="4"/>
        <v>183218.97796536135</v>
      </c>
      <c r="G82" s="186">
        <f t="shared" si="5"/>
        <v>2457058.2468443555</v>
      </c>
      <c r="H82" s="187">
        <f t="shared" si="6"/>
        <v>2640277.2248097169</v>
      </c>
      <c r="I82" s="178"/>
      <c r="J82" s="48"/>
      <c r="K82" s="49"/>
      <c r="M82" s="772"/>
      <c r="N82" s="46">
        <v>69</v>
      </c>
      <c r="O82" s="47">
        <f t="shared" si="9"/>
        <v>149448.9558187497</v>
      </c>
      <c r="P82" s="47">
        <f t="shared" si="7"/>
        <v>2372205.6479166667</v>
      </c>
      <c r="Q82" s="47">
        <f t="shared" si="10"/>
        <v>64049552.493749872</v>
      </c>
      <c r="R82" s="47">
        <f t="shared" si="8"/>
        <v>2521654.6037354162</v>
      </c>
      <c r="S82" s="47"/>
      <c r="T82" s="48"/>
      <c r="U82" s="49"/>
    </row>
    <row r="83" spans="4:21">
      <c r="D83" s="770"/>
      <c r="E83" s="180">
        <v>66</v>
      </c>
      <c r="F83" s="185">
        <f t="shared" si="4"/>
        <v>177690.59690996155</v>
      </c>
      <c r="G83" s="186">
        <f t="shared" si="5"/>
        <v>2462586.6278997553</v>
      </c>
      <c r="H83" s="187">
        <f t="shared" si="6"/>
        <v>2640277.2248097169</v>
      </c>
      <c r="I83" s="178"/>
      <c r="J83" s="48"/>
      <c r="K83" s="49"/>
      <c r="M83" s="772"/>
      <c r="N83" s="46">
        <v>70</v>
      </c>
      <c r="O83" s="47">
        <f t="shared" si="9"/>
        <v>144111.49311093721</v>
      </c>
      <c r="P83" s="47">
        <f t="shared" si="7"/>
        <v>2372205.6479166667</v>
      </c>
      <c r="Q83" s="47">
        <f t="shared" si="10"/>
        <v>61677346.845833205</v>
      </c>
      <c r="R83" s="47">
        <f t="shared" si="8"/>
        <v>2516317.1410276038</v>
      </c>
      <c r="S83" s="47"/>
      <c r="T83" s="48"/>
      <c r="U83" s="49"/>
    </row>
    <row r="84" spans="4:21">
      <c r="D84" s="770"/>
      <c r="E84" s="180">
        <v>67</v>
      </c>
      <c r="F84" s="185">
        <f t="shared" si="4"/>
        <v>172149.77699718709</v>
      </c>
      <c r="G84" s="186">
        <f t="shared" si="5"/>
        <v>2468127.4478125297</v>
      </c>
      <c r="H84" s="187">
        <f t="shared" si="6"/>
        <v>2640277.2248097169</v>
      </c>
      <c r="I84" s="178"/>
      <c r="J84" s="48"/>
      <c r="K84" s="49"/>
      <c r="M84" s="772"/>
      <c r="N84" s="46">
        <v>71</v>
      </c>
      <c r="O84" s="47">
        <f t="shared" si="9"/>
        <v>138774.03040312472</v>
      </c>
      <c r="P84" s="47">
        <f t="shared" si="7"/>
        <v>2372205.6479166667</v>
      </c>
      <c r="Q84" s="47">
        <f t="shared" si="10"/>
        <v>59305141.197916538</v>
      </c>
      <c r="R84" s="47">
        <f t="shared" si="8"/>
        <v>2510979.6783197913</v>
      </c>
      <c r="S84" s="47"/>
      <c r="T84" s="48"/>
      <c r="U84" s="49"/>
    </row>
    <row r="85" spans="4:21">
      <c r="D85" s="770"/>
      <c r="E85" s="180">
        <v>68</v>
      </c>
      <c r="F85" s="185">
        <f t="shared" ref="F85:F148" si="11">IF($E85&gt;$H$4,0,-IPMT($G$4/12,$E85,$H$4,$F$4,0))</f>
        <v>166596.49023960889</v>
      </c>
      <c r="G85" s="186">
        <f t="shared" ref="G85:G148" si="12">IF($E85&gt;$H$4,0,-PPMT($G$4/12,$E85,$H$4,$F$4,0))</f>
        <v>2473680.7345701084</v>
      </c>
      <c r="H85" s="187">
        <f t="shared" si="6"/>
        <v>2640277.2248097174</v>
      </c>
      <c r="I85" s="178"/>
      <c r="J85" s="48"/>
      <c r="K85" s="49"/>
      <c r="M85" s="772"/>
      <c r="N85" s="46">
        <v>72</v>
      </c>
      <c r="O85" s="47">
        <f t="shared" si="9"/>
        <v>133436.5676953122</v>
      </c>
      <c r="P85" s="47">
        <f t="shared" si="7"/>
        <v>2372205.6479166667</v>
      </c>
      <c r="Q85" s="47">
        <f t="shared" si="10"/>
        <v>56932935.54999987</v>
      </c>
      <c r="R85" s="47">
        <f t="shared" si="8"/>
        <v>2505642.2156119789</v>
      </c>
      <c r="S85" s="47">
        <f>SUM(O74:O85)</f>
        <v>1953511.3510593711</v>
      </c>
      <c r="T85" s="47">
        <f>SUM(P74:P85)</f>
        <v>28466467.775000002</v>
      </c>
      <c r="U85" s="50">
        <f>S85+T85</f>
        <v>30419979.126059372</v>
      </c>
    </row>
    <row r="86" spans="4:21">
      <c r="D86" s="770"/>
      <c r="E86" s="180">
        <v>69</v>
      </c>
      <c r="F86" s="185">
        <f t="shared" si="11"/>
        <v>161030.70858682616</v>
      </c>
      <c r="G86" s="186">
        <f t="shared" si="12"/>
        <v>2479246.5162228909</v>
      </c>
      <c r="H86" s="187">
        <f t="shared" ref="H86:H149" si="13">F86+G86</f>
        <v>2640277.2248097169</v>
      </c>
      <c r="I86" s="178"/>
      <c r="J86" s="48"/>
      <c r="K86" s="49"/>
      <c r="M86" s="772">
        <v>7</v>
      </c>
      <c r="N86" s="46">
        <v>73</v>
      </c>
      <c r="O86" s="47">
        <f t="shared" si="9"/>
        <v>128099.10498749971</v>
      </c>
      <c r="P86" s="47">
        <f t="shared" si="7"/>
        <v>2372205.6479166667</v>
      </c>
      <c r="Q86" s="47">
        <f t="shared" si="10"/>
        <v>54560729.902083203</v>
      </c>
      <c r="R86" s="47">
        <f t="shared" si="8"/>
        <v>2500304.7529041665</v>
      </c>
      <c r="S86" s="47"/>
      <c r="T86" s="48"/>
      <c r="U86" s="49"/>
    </row>
    <row r="87" spans="4:21">
      <c r="D87" s="770"/>
      <c r="E87" s="180">
        <v>70</v>
      </c>
      <c r="F87" s="185">
        <f t="shared" si="11"/>
        <v>155452.40392532467</v>
      </c>
      <c r="G87" s="186">
        <f t="shared" si="12"/>
        <v>2484824.8208843926</v>
      </c>
      <c r="H87" s="187">
        <f t="shared" si="13"/>
        <v>2640277.2248097174</v>
      </c>
      <c r="I87" s="178"/>
      <c r="J87" s="48"/>
      <c r="K87" s="49"/>
      <c r="M87" s="772"/>
      <c r="N87" s="46">
        <v>74</v>
      </c>
      <c r="O87" s="47">
        <f t="shared" si="9"/>
        <v>122761.64227968721</v>
      </c>
      <c r="P87" s="47">
        <f t="shared" si="7"/>
        <v>2372205.6479166667</v>
      </c>
      <c r="Q87" s="47">
        <f t="shared" si="10"/>
        <v>52188524.254166536</v>
      </c>
      <c r="R87" s="47">
        <f t="shared" si="8"/>
        <v>2494967.290196354</v>
      </c>
      <c r="S87" s="47"/>
      <c r="T87" s="48"/>
      <c r="U87" s="49"/>
    </row>
    <row r="88" spans="4:21">
      <c r="D88" s="770"/>
      <c r="E88" s="180">
        <v>71</v>
      </c>
      <c r="F88" s="185">
        <f t="shared" si="11"/>
        <v>149861.5480783348</v>
      </c>
      <c r="G88" s="186">
        <f t="shared" si="12"/>
        <v>2490415.676731382</v>
      </c>
      <c r="H88" s="187">
        <f t="shared" si="13"/>
        <v>2640277.2248097169</v>
      </c>
      <c r="I88" s="178"/>
      <c r="J88" s="48"/>
      <c r="K88" s="49"/>
      <c r="M88" s="772"/>
      <c r="N88" s="46">
        <v>75</v>
      </c>
      <c r="O88" s="47">
        <f t="shared" si="9"/>
        <v>117424.17957187472</v>
      </c>
      <c r="P88" s="47">
        <f t="shared" si="7"/>
        <v>2372205.6479166667</v>
      </c>
      <c r="Q88" s="47">
        <f t="shared" si="10"/>
        <v>49816318.606249869</v>
      </c>
      <c r="R88" s="47">
        <f t="shared" si="8"/>
        <v>2489629.8274885416</v>
      </c>
      <c r="S88" s="47"/>
      <c r="T88" s="48"/>
      <c r="U88" s="49"/>
    </row>
    <row r="89" spans="4:21" ht="13.5" thickBot="1">
      <c r="D89" s="771"/>
      <c r="E89" s="188">
        <v>72</v>
      </c>
      <c r="F89" s="189">
        <f t="shared" si="11"/>
        <v>144258.11280568919</v>
      </c>
      <c r="G89" s="190">
        <f t="shared" si="12"/>
        <v>2496019.1120040282</v>
      </c>
      <c r="H89" s="191">
        <f t="shared" si="13"/>
        <v>2640277.2248097174</v>
      </c>
      <c r="I89" s="192">
        <f>SUM(F78:F89)</f>
        <v>2098170.5368217099</v>
      </c>
      <c r="J89" s="193">
        <f>SUM(G78:G89)</f>
        <v>29585156.160894889</v>
      </c>
      <c r="K89" s="194">
        <f>I89+J89</f>
        <v>31683326.697716601</v>
      </c>
      <c r="M89" s="772"/>
      <c r="N89" s="46">
        <v>76</v>
      </c>
      <c r="O89" s="47">
        <f t="shared" si="9"/>
        <v>112086.7168640622</v>
      </c>
      <c r="P89" s="47">
        <f t="shared" si="7"/>
        <v>2372205.6479166667</v>
      </c>
      <c r="Q89" s="47">
        <f t="shared" si="10"/>
        <v>47444112.958333202</v>
      </c>
      <c r="R89" s="47">
        <f t="shared" si="8"/>
        <v>2484292.3647807287</v>
      </c>
      <c r="S89" s="47"/>
      <c r="T89" s="48"/>
      <c r="U89" s="49"/>
    </row>
    <row r="90" spans="4:21">
      <c r="D90" s="769">
        <v>7</v>
      </c>
      <c r="E90" s="195">
        <v>73</v>
      </c>
      <c r="F90" s="196">
        <f t="shared" si="11"/>
        <v>138642.06980368012</v>
      </c>
      <c r="G90" s="197">
        <f t="shared" si="12"/>
        <v>2501635.1550060366</v>
      </c>
      <c r="H90" s="198">
        <f t="shared" si="13"/>
        <v>2640277.2248097169</v>
      </c>
      <c r="I90" s="199"/>
      <c r="J90" s="200"/>
      <c r="K90" s="201"/>
      <c r="M90" s="772"/>
      <c r="N90" s="46">
        <v>77</v>
      </c>
      <c r="O90" s="47">
        <f t="shared" si="9"/>
        <v>106749.25415624971</v>
      </c>
      <c r="P90" s="47">
        <f t="shared" si="7"/>
        <v>2372205.6479166667</v>
      </c>
      <c r="Q90" s="47">
        <f t="shared" si="10"/>
        <v>45071907.310416535</v>
      </c>
      <c r="R90" s="47">
        <f t="shared" si="8"/>
        <v>2478954.9020729163</v>
      </c>
      <c r="S90" s="47"/>
      <c r="T90" s="48"/>
      <c r="U90" s="49"/>
    </row>
    <row r="91" spans="4:21">
      <c r="D91" s="770"/>
      <c r="E91" s="180">
        <v>74</v>
      </c>
      <c r="F91" s="185">
        <f t="shared" si="11"/>
        <v>133013.39070491653</v>
      </c>
      <c r="G91" s="186">
        <f t="shared" si="12"/>
        <v>2507263.8341048006</v>
      </c>
      <c r="H91" s="187">
        <f t="shared" si="13"/>
        <v>2640277.2248097169</v>
      </c>
      <c r="I91" s="178"/>
      <c r="J91" s="48"/>
      <c r="K91" s="49"/>
      <c r="M91" s="772"/>
      <c r="N91" s="46">
        <v>78</v>
      </c>
      <c r="O91" s="47">
        <f t="shared" si="9"/>
        <v>101411.7914484372</v>
      </c>
      <c r="P91" s="47">
        <f t="shared" si="7"/>
        <v>2372205.6479166667</v>
      </c>
      <c r="Q91" s="47">
        <f t="shared" si="10"/>
        <v>42699701.662499867</v>
      </c>
      <c r="R91" s="47">
        <f t="shared" si="8"/>
        <v>2473617.4393651038</v>
      </c>
      <c r="S91" s="47"/>
      <c r="T91" s="48"/>
      <c r="U91" s="49"/>
    </row>
    <row r="92" spans="4:21">
      <c r="D92" s="770"/>
      <c r="E92" s="180">
        <v>75</v>
      </c>
      <c r="F92" s="185">
        <f t="shared" si="11"/>
        <v>127372.04707818072</v>
      </c>
      <c r="G92" s="186">
        <f t="shared" si="12"/>
        <v>2512905.1777315363</v>
      </c>
      <c r="H92" s="187">
        <f t="shared" si="13"/>
        <v>2640277.2248097169</v>
      </c>
      <c r="I92" s="178"/>
      <c r="J92" s="48"/>
      <c r="K92" s="49"/>
      <c r="M92" s="772"/>
      <c r="N92" s="46">
        <v>79</v>
      </c>
      <c r="O92" s="47">
        <f t="shared" si="9"/>
        <v>96074.328740624696</v>
      </c>
      <c r="P92" s="47">
        <f t="shared" si="7"/>
        <v>2372205.6479166667</v>
      </c>
      <c r="Q92" s="47">
        <f t="shared" si="10"/>
        <v>40327496.0145832</v>
      </c>
      <c r="R92" s="47">
        <f t="shared" si="8"/>
        <v>2468279.9766572914</v>
      </c>
      <c r="S92" s="47"/>
      <c r="T92" s="48"/>
      <c r="U92" s="49"/>
    </row>
    <row r="93" spans="4:21">
      <c r="D93" s="770"/>
      <c r="E93" s="180">
        <v>76</v>
      </c>
      <c r="F93" s="185">
        <f t="shared" si="11"/>
        <v>121718.01042828476</v>
      </c>
      <c r="G93" s="186">
        <f t="shared" si="12"/>
        <v>2518559.2143814322</v>
      </c>
      <c r="H93" s="187">
        <f t="shared" si="13"/>
        <v>2640277.2248097169</v>
      </c>
      <c r="I93" s="178"/>
      <c r="J93" s="48"/>
      <c r="K93" s="49"/>
      <c r="M93" s="772"/>
      <c r="N93" s="46">
        <v>80</v>
      </c>
      <c r="O93" s="47">
        <f t="shared" si="9"/>
        <v>90736.866032812206</v>
      </c>
      <c r="P93" s="47">
        <f t="shared" si="7"/>
        <v>2372205.6479166667</v>
      </c>
      <c r="Q93" s="47">
        <f t="shared" si="10"/>
        <v>37955290.366666533</v>
      </c>
      <c r="R93" s="47">
        <f t="shared" si="8"/>
        <v>2462942.513949479</v>
      </c>
      <c r="S93" s="47"/>
      <c r="T93" s="48"/>
      <c r="U93" s="49"/>
    </row>
    <row r="94" spans="4:21">
      <c r="D94" s="770"/>
      <c r="E94" s="180">
        <v>77</v>
      </c>
      <c r="F94" s="185">
        <f t="shared" si="11"/>
        <v>116051.25219592656</v>
      </c>
      <c r="G94" s="186">
        <f t="shared" si="12"/>
        <v>2524225.9726137905</v>
      </c>
      <c r="H94" s="187">
        <f t="shared" si="13"/>
        <v>2640277.2248097169</v>
      </c>
      <c r="I94" s="178"/>
      <c r="J94" s="48"/>
      <c r="K94" s="49"/>
      <c r="M94" s="772"/>
      <c r="N94" s="46">
        <v>81</v>
      </c>
      <c r="O94" s="47">
        <f t="shared" si="9"/>
        <v>85399.403324999701</v>
      </c>
      <c r="P94" s="47">
        <f t="shared" si="7"/>
        <v>2372205.6479166667</v>
      </c>
      <c r="Q94" s="47">
        <f t="shared" si="10"/>
        <v>35583084.718749866</v>
      </c>
      <c r="R94" s="47">
        <f t="shared" si="8"/>
        <v>2457605.0512416665</v>
      </c>
      <c r="S94" s="47"/>
      <c r="T94" s="48"/>
      <c r="U94" s="49"/>
    </row>
    <row r="95" spans="4:21">
      <c r="D95" s="770"/>
      <c r="E95" s="180">
        <v>78</v>
      </c>
      <c r="F95" s="185">
        <f t="shared" si="11"/>
        <v>110371.74375754553</v>
      </c>
      <c r="G95" s="186">
        <f t="shared" si="12"/>
        <v>2529905.4810521714</v>
      </c>
      <c r="H95" s="187">
        <f t="shared" si="13"/>
        <v>2640277.2248097169</v>
      </c>
      <c r="I95" s="178"/>
      <c r="J95" s="48"/>
      <c r="K95" s="49"/>
      <c r="M95" s="772"/>
      <c r="N95" s="46">
        <v>82</v>
      </c>
      <c r="O95" s="47">
        <f t="shared" si="9"/>
        <v>80061.940617187196</v>
      </c>
      <c r="P95" s="47">
        <f t="shared" si="7"/>
        <v>2372205.6479166667</v>
      </c>
      <c r="Q95" s="47">
        <f t="shared" si="10"/>
        <v>33210879.070833199</v>
      </c>
      <c r="R95" s="47">
        <f t="shared" si="8"/>
        <v>2452267.5885338541</v>
      </c>
      <c r="S95" s="47"/>
      <c r="T95" s="48"/>
      <c r="U95" s="49"/>
    </row>
    <row r="96" spans="4:21">
      <c r="D96" s="770"/>
      <c r="E96" s="180">
        <v>79</v>
      </c>
      <c r="F96" s="185">
        <f t="shared" si="11"/>
        <v>104679.45642517814</v>
      </c>
      <c r="G96" s="186">
        <f t="shared" si="12"/>
        <v>2535597.7683845386</v>
      </c>
      <c r="H96" s="187">
        <f t="shared" si="13"/>
        <v>2640277.2248097169</v>
      </c>
      <c r="I96" s="178"/>
      <c r="J96" s="48"/>
      <c r="K96" s="49"/>
      <c r="M96" s="772"/>
      <c r="N96" s="46">
        <v>83</v>
      </c>
      <c r="O96" s="47">
        <f t="shared" si="9"/>
        <v>74724.477909374706</v>
      </c>
      <c r="P96" s="47">
        <f t="shared" si="7"/>
        <v>2372205.6479166667</v>
      </c>
      <c r="Q96" s="47">
        <f t="shared" si="10"/>
        <v>30838673.422916532</v>
      </c>
      <c r="R96" s="47">
        <f t="shared" si="8"/>
        <v>2446930.1258260412</v>
      </c>
      <c r="S96" s="47"/>
      <c r="T96" s="48"/>
      <c r="U96" s="49"/>
    </row>
    <row r="97" spans="4:21">
      <c r="D97" s="770"/>
      <c r="E97" s="180">
        <v>80</v>
      </c>
      <c r="F97" s="185">
        <f t="shared" si="11"/>
        <v>98974.361446312949</v>
      </c>
      <c r="G97" s="186">
        <f t="shared" si="12"/>
        <v>2541302.8633634038</v>
      </c>
      <c r="H97" s="187">
        <f t="shared" si="13"/>
        <v>2640277.2248097169</v>
      </c>
      <c r="I97" s="178"/>
      <c r="J97" s="48"/>
      <c r="K97" s="49"/>
      <c r="M97" s="772"/>
      <c r="N97" s="46">
        <v>84</v>
      </c>
      <c r="O97" s="47">
        <f t="shared" si="9"/>
        <v>69387.015201562186</v>
      </c>
      <c r="P97" s="47">
        <f t="shared" si="7"/>
        <v>2372205.6479166667</v>
      </c>
      <c r="Q97" s="47">
        <f t="shared" si="10"/>
        <v>28466467.774999864</v>
      </c>
      <c r="R97" s="47">
        <f t="shared" si="8"/>
        <v>2441592.6631182288</v>
      </c>
      <c r="S97" s="47">
        <f>SUM(O86:O97)</f>
        <v>1184916.7211343714</v>
      </c>
      <c r="T97" s="47">
        <f>SUM(P86:P97)</f>
        <v>28466467.775000002</v>
      </c>
      <c r="U97" s="50">
        <f>S97+T97</f>
        <v>29651384.496134374</v>
      </c>
    </row>
    <row r="98" spans="4:21">
      <c r="D98" s="770"/>
      <c r="E98" s="180">
        <v>81</v>
      </c>
      <c r="F98" s="185">
        <f t="shared" si="11"/>
        <v>93256.430003745263</v>
      </c>
      <c r="G98" s="186">
        <f t="shared" si="12"/>
        <v>2547020.7948059719</v>
      </c>
      <c r="H98" s="187">
        <f t="shared" si="13"/>
        <v>2640277.2248097174</v>
      </c>
      <c r="I98" s="178"/>
      <c r="J98" s="48"/>
      <c r="K98" s="49"/>
      <c r="M98" s="772">
        <v>8</v>
      </c>
      <c r="N98" s="46">
        <v>85</v>
      </c>
      <c r="O98" s="47">
        <f t="shared" si="9"/>
        <v>64049.552493749688</v>
      </c>
      <c r="P98" s="47">
        <f t="shared" si="7"/>
        <v>2372205.6479166667</v>
      </c>
      <c r="Q98" s="47">
        <f t="shared" si="10"/>
        <v>26094262.127083197</v>
      </c>
      <c r="R98" s="47">
        <f t="shared" si="8"/>
        <v>2436255.2004104163</v>
      </c>
      <c r="S98" s="47"/>
      <c r="T98" s="48"/>
      <c r="U98" s="49"/>
    </row>
    <row r="99" spans="4:21">
      <c r="D99" s="770"/>
      <c r="E99" s="180">
        <v>82</v>
      </c>
      <c r="F99" s="185">
        <f t="shared" si="11"/>
        <v>87525.633215431822</v>
      </c>
      <c r="G99" s="186">
        <f t="shared" si="12"/>
        <v>2552751.5915942853</v>
      </c>
      <c r="H99" s="187">
        <f t="shared" si="13"/>
        <v>2640277.2248097174</v>
      </c>
      <c r="I99" s="178"/>
      <c r="J99" s="48"/>
      <c r="K99" s="49"/>
      <c r="M99" s="772"/>
      <c r="N99" s="46">
        <v>86</v>
      </c>
      <c r="O99" s="47">
        <f t="shared" si="9"/>
        <v>58712.089785937191</v>
      </c>
      <c r="P99" s="47">
        <f t="shared" si="7"/>
        <v>2372205.6479166667</v>
      </c>
      <c r="Q99" s="47">
        <f t="shared" si="10"/>
        <v>23722056.47916653</v>
      </c>
      <c r="R99" s="47">
        <f t="shared" si="8"/>
        <v>2430917.7377026039</v>
      </c>
      <c r="S99" s="47"/>
      <c r="T99" s="48"/>
      <c r="U99" s="49"/>
    </row>
    <row r="100" spans="4:21">
      <c r="D100" s="770"/>
      <c r="E100" s="180">
        <v>83</v>
      </c>
      <c r="F100" s="185">
        <f t="shared" si="11"/>
        <v>81781.942134344717</v>
      </c>
      <c r="G100" s="186">
        <f t="shared" si="12"/>
        <v>2558495.2826753724</v>
      </c>
      <c r="H100" s="187">
        <f t="shared" si="13"/>
        <v>2640277.2248097174</v>
      </c>
      <c r="I100" s="178"/>
      <c r="J100" s="48"/>
      <c r="K100" s="49"/>
      <c r="M100" s="772"/>
      <c r="N100" s="46">
        <v>87</v>
      </c>
      <c r="O100" s="47">
        <f t="shared" si="9"/>
        <v>53374.627078124693</v>
      </c>
      <c r="P100" s="47">
        <f t="shared" si="7"/>
        <v>2372205.6479166667</v>
      </c>
      <c r="Q100" s="47">
        <f t="shared" si="10"/>
        <v>21349850.831249863</v>
      </c>
      <c r="R100" s="47">
        <f t="shared" si="8"/>
        <v>2425580.2749947915</v>
      </c>
      <c r="S100" s="47"/>
      <c r="T100" s="48"/>
      <c r="U100" s="49"/>
    </row>
    <row r="101" spans="4:21" ht="13.5" thickBot="1">
      <c r="D101" s="771"/>
      <c r="E101" s="188">
        <v>84</v>
      </c>
      <c r="F101" s="189">
        <f t="shared" si="11"/>
        <v>76025.327748325115</v>
      </c>
      <c r="G101" s="190">
        <f t="shared" si="12"/>
        <v>2564251.8970613917</v>
      </c>
      <c r="H101" s="191">
        <f t="shared" si="13"/>
        <v>2640277.2248097169</v>
      </c>
      <c r="I101" s="192">
        <f>SUM(F90:F101)</f>
        <v>1289411.6649418722</v>
      </c>
      <c r="J101" s="193">
        <f>SUM(G90:G101)</f>
        <v>30393915.032774732</v>
      </c>
      <c r="K101" s="194">
        <f>I101+J101</f>
        <v>31683326.697716605</v>
      </c>
      <c r="M101" s="772"/>
      <c r="N101" s="46">
        <v>88</v>
      </c>
      <c r="O101" s="47">
        <f t="shared" si="9"/>
        <v>48037.164370312188</v>
      </c>
      <c r="P101" s="47">
        <f t="shared" si="7"/>
        <v>2372205.6479166667</v>
      </c>
      <c r="Q101" s="47">
        <f t="shared" si="10"/>
        <v>18977645.183333196</v>
      </c>
      <c r="R101" s="47">
        <f t="shared" si="8"/>
        <v>2420242.8122869791</v>
      </c>
      <c r="S101" s="47"/>
      <c r="T101" s="48"/>
      <c r="U101" s="49"/>
    </row>
    <row r="102" spans="4:21">
      <c r="D102" s="769">
        <v>8</v>
      </c>
      <c r="E102" s="195">
        <v>85</v>
      </c>
      <c r="F102" s="196">
        <f t="shared" si="11"/>
        <v>70255.760979936982</v>
      </c>
      <c r="G102" s="197">
        <f t="shared" si="12"/>
        <v>2570021.46382978</v>
      </c>
      <c r="H102" s="198">
        <f t="shared" si="13"/>
        <v>2640277.2248097169</v>
      </c>
      <c r="I102" s="199"/>
      <c r="J102" s="200"/>
      <c r="K102" s="201"/>
      <c r="M102" s="772"/>
      <c r="N102" s="46">
        <v>89</v>
      </c>
      <c r="O102" s="47">
        <f t="shared" si="9"/>
        <v>42699.70166249969</v>
      </c>
      <c r="P102" s="47">
        <f t="shared" si="7"/>
        <v>2372205.6479166667</v>
      </c>
      <c r="Q102" s="47">
        <f t="shared" si="10"/>
        <v>16605439.535416529</v>
      </c>
      <c r="R102" s="47">
        <f t="shared" si="8"/>
        <v>2414905.3495791666</v>
      </c>
      <c r="S102" s="47"/>
      <c r="T102" s="48"/>
      <c r="U102" s="49"/>
    </row>
    <row r="103" spans="4:21">
      <c r="D103" s="770"/>
      <c r="E103" s="180">
        <v>86</v>
      </c>
      <c r="F103" s="185">
        <f t="shared" si="11"/>
        <v>64473.212686319974</v>
      </c>
      <c r="G103" s="186">
        <f t="shared" si="12"/>
        <v>2575804.0121233971</v>
      </c>
      <c r="H103" s="187">
        <f t="shared" si="13"/>
        <v>2640277.2248097169</v>
      </c>
      <c r="I103" s="178"/>
      <c r="J103" s="48"/>
      <c r="K103" s="49"/>
      <c r="M103" s="772"/>
      <c r="N103" s="46">
        <v>90</v>
      </c>
      <c r="O103" s="47">
        <f t="shared" si="9"/>
        <v>37362.238954687193</v>
      </c>
      <c r="P103" s="47">
        <f t="shared" si="7"/>
        <v>2372205.6479166667</v>
      </c>
      <c r="Q103" s="47">
        <f t="shared" si="10"/>
        <v>14233233.887499861</v>
      </c>
      <c r="R103" s="47">
        <f t="shared" si="8"/>
        <v>2409567.8868713537</v>
      </c>
      <c r="S103" s="47"/>
      <c r="T103" s="48"/>
      <c r="U103" s="49"/>
    </row>
    <row r="104" spans="4:21">
      <c r="D104" s="770"/>
      <c r="E104" s="180">
        <v>87</v>
      </c>
      <c r="F104" s="185">
        <f t="shared" si="11"/>
        <v>58677.653659042335</v>
      </c>
      <c r="G104" s="186">
        <f t="shared" si="12"/>
        <v>2581599.5711506745</v>
      </c>
      <c r="H104" s="187">
        <f t="shared" si="13"/>
        <v>2640277.2248097169</v>
      </c>
      <c r="I104" s="178"/>
      <c r="J104" s="48"/>
      <c r="K104" s="49"/>
      <c r="M104" s="772"/>
      <c r="N104" s="46">
        <v>91</v>
      </c>
      <c r="O104" s="47">
        <f t="shared" si="9"/>
        <v>32024.776246874691</v>
      </c>
      <c r="P104" s="47">
        <f t="shared" si="7"/>
        <v>2372205.6479166667</v>
      </c>
      <c r="Q104" s="47">
        <f t="shared" si="10"/>
        <v>11861028.239583194</v>
      </c>
      <c r="R104" s="47">
        <f t="shared" si="8"/>
        <v>2404230.4241635413</v>
      </c>
      <c r="S104" s="47"/>
      <c r="T104" s="48"/>
      <c r="U104" s="49"/>
    </row>
    <row r="105" spans="4:21">
      <c r="D105" s="770"/>
      <c r="E105" s="180">
        <v>88</v>
      </c>
      <c r="F105" s="185">
        <f t="shared" si="11"/>
        <v>52869.054623953307</v>
      </c>
      <c r="G105" s="186">
        <f t="shared" si="12"/>
        <v>2587408.1701857634</v>
      </c>
      <c r="H105" s="187">
        <f t="shared" si="13"/>
        <v>2640277.2248097169</v>
      </c>
      <c r="I105" s="178"/>
      <c r="J105" s="48"/>
      <c r="K105" s="49"/>
      <c r="M105" s="772"/>
      <c r="N105" s="46">
        <v>92</v>
      </c>
      <c r="O105" s="47">
        <f t="shared" si="9"/>
        <v>26687.313539062186</v>
      </c>
      <c r="P105" s="47">
        <f t="shared" si="7"/>
        <v>2372205.6479166667</v>
      </c>
      <c r="Q105" s="47">
        <f t="shared" si="10"/>
        <v>9488822.5916665271</v>
      </c>
      <c r="R105" s="47">
        <f t="shared" si="8"/>
        <v>2398892.9614557289</v>
      </c>
      <c r="S105" s="47"/>
      <c r="T105" s="48"/>
      <c r="U105" s="49"/>
    </row>
    <row r="106" spans="4:21">
      <c r="D106" s="770"/>
      <c r="E106" s="180">
        <v>89</v>
      </c>
      <c r="F106" s="185">
        <f t="shared" si="11"/>
        <v>47047.386241035347</v>
      </c>
      <c r="G106" s="186">
        <f t="shared" si="12"/>
        <v>2593229.8385686814</v>
      </c>
      <c r="H106" s="187">
        <f t="shared" si="13"/>
        <v>2640277.2248097169</v>
      </c>
      <c r="I106" s="178"/>
      <c r="J106" s="48"/>
      <c r="K106" s="49"/>
      <c r="M106" s="772"/>
      <c r="N106" s="46">
        <v>93</v>
      </c>
      <c r="O106" s="47">
        <f t="shared" si="9"/>
        <v>21349.850831249685</v>
      </c>
      <c r="P106" s="47">
        <f t="shared" si="7"/>
        <v>2372205.6479166667</v>
      </c>
      <c r="Q106" s="47">
        <f t="shared" si="10"/>
        <v>7116616.9437498599</v>
      </c>
      <c r="R106" s="47">
        <f t="shared" si="8"/>
        <v>2393555.4987479164</v>
      </c>
      <c r="S106" s="47"/>
      <c r="T106" s="48"/>
      <c r="U106" s="49"/>
    </row>
    <row r="107" spans="4:21">
      <c r="D107" s="770"/>
      <c r="E107" s="180">
        <v>90</v>
      </c>
      <c r="F107" s="185">
        <f t="shared" si="11"/>
        <v>41212.619104255828</v>
      </c>
      <c r="G107" s="186">
        <f t="shared" si="12"/>
        <v>2599064.605705461</v>
      </c>
      <c r="H107" s="187">
        <f t="shared" si="13"/>
        <v>2640277.2248097169</v>
      </c>
      <c r="I107" s="178"/>
      <c r="J107" s="48"/>
      <c r="K107" s="49"/>
      <c r="M107" s="772"/>
      <c r="N107" s="46">
        <v>94</v>
      </c>
      <c r="O107" s="47">
        <f t="shared" si="9"/>
        <v>16012.388123437186</v>
      </c>
      <c r="P107" s="47">
        <f t="shared" si="7"/>
        <v>2372205.6479166667</v>
      </c>
      <c r="Q107" s="47">
        <f t="shared" si="10"/>
        <v>4744411.2958331928</v>
      </c>
      <c r="R107" s="47">
        <f t="shared" si="8"/>
        <v>2388218.036040104</v>
      </c>
      <c r="S107" s="47"/>
      <c r="T107" s="48"/>
      <c r="U107" s="49"/>
    </row>
    <row r="108" spans="4:21">
      <c r="D108" s="770"/>
      <c r="E108" s="180">
        <v>91</v>
      </c>
      <c r="F108" s="185">
        <f t="shared" si="11"/>
        <v>35364.723741418522</v>
      </c>
      <c r="G108" s="186">
        <f t="shared" si="12"/>
        <v>2604912.5010682982</v>
      </c>
      <c r="H108" s="187">
        <f t="shared" si="13"/>
        <v>2640277.2248097169</v>
      </c>
      <c r="I108" s="178"/>
      <c r="J108" s="48"/>
      <c r="K108" s="49"/>
      <c r="M108" s="772"/>
      <c r="N108" s="46">
        <v>95</v>
      </c>
      <c r="O108" s="47">
        <f t="shared" si="9"/>
        <v>10674.925415624684</v>
      </c>
      <c r="P108" s="47">
        <f t="shared" si="7"/>
        <v>2372205.6479166667</v>
      </c>
      <c r="Q108" s="47">
        <f t="shared" si="10"/>
        <v>2372205.6479165261</v>
      </c>
      <c r="R108" s="47">
        <f t="shared" si="8"/>
        <v>2382880.5733322916</v>
      </c>
      <c r="S108" s="47"/>
      <c r="T108" s="48"/>
      <c r="U108" s="49"/>
    </row>
    <row r="109" spans="4:21">
      <c r="D109" s="770"/>
      <c r="E109" s="180">
        <v>92</v>
      </c>
      <c r="F109" s="185">
        <f t="shared" si="11"/>
        <v>29503.670614014864</v>
      </c>
      <c r="G109" s="186">
        <f t="shared" si="12"/>
        <v>2610773.5541957021</v>
      </c>
      <c r="H109" s="187">
        <f t="shared" si="13"/>
        <v>2640277.2248097169</v>
      </c>
      <c r="I109" s="178"/>
      <c r="J109" s="48"/>
      <c r="K109" s="49"/>
      <c r="M109" s="772"/>
      <c r="N109" s="46">
        <v>96</v>
      </c>
      <c r="O109" s="47">
        <f t="shared" si="9"/>
        <v>5337.4627078121839</v>
      </c>
      <c r="P109" s="47">
        <f t="shared" si="7"/>
        <v>2372205.6479166667</v>
      </c>
      <c r="Q109" s="47">
        <f t="shared" si="10"/>
        <v>-1.4062970876693726E-7</v>
      </c>
      <c r="R109" s="47">
        <f t="shared" si="8"/>
        <v>2377543.1106244787</v>
      </c>
      <c r="S109" s="47">
        <f>SUM(O98:O109)</f>
        <v>416322.09120937128</v>
      </c>
      <c r="T109" s="47">
        <f>SUM(P98:P109)</f>
        <v>28466467.775000002</v>
      </c>
      <c r="U109" s="50">
        <f>S109+T109</f>
        <v>28882789.866209373</v>
      </c>
    </row>
    <row r="110" spans="4:21">
      <c r="D110" s="770"/>
      <c r="E110" s="180">
        <v>93</v>
      </c>
      <c r="F110" s="185">
        <f t="shared" si="11"/>
        <v>23629.430117074535</v>
      </c>
      <c r="G110" s="186">
        <f t="shared" si="12"/>
        <v>2616647.7946926425</v>
      </c>
      <c r="H110" s="187">
        <f t="shared" si="13"/>
        <v>2640277.2248097169</v>
      </c>
      <c r="I110" s="178"/>
      <c r="J110" s="48"/>
      <c r="K110" s="49"/>
      <c r="M110" s="772">
        <v>9</v>
      </c>
      <c r="N110" s="46">
        <v>97</v>
      </c>
      <c r="O110" s="47">
        <f t="shared" si="9"/>
        <v>-3.1641684472560882E-10</v>
      </c>
      <c r="P110" s="47">
        <f t="shared" si="7"/>
        <v>0</v>
      </c>
      <c r="Q110" s="47">
        <f t="shared" si="10"/>
        <v>-1.4062970876693726E-7</v>
      </c>
      <c r="R110" s="47">
        <f t="shared" si="8"/>
        <v>-3.1641684472560882E-10</v>
      </c>
      <c r="S110" s="47"/>
      <c r="T110" s="48"/>
      <c r="U110" s="49"/>
    </row>
    <row r="111" spans="4:21">
      <c r="D111" s="770"/>
      <c r="E111" s="180">
        <v>94</v>
      </c>
      <c r="F111" s="185">
        <f t="shared" si="11"/>
        <v>17741.972579016088</v>
      </c>
      <c r="G111" s="186">
        <f t="shared" si="12"/>
        <v>2622535.2522307006</v>
      </c>
      <c r="H111" s="187">
        <f t="shared" si="13"/>
        <v>2640277.2248097165</v>
      </c>
      <c r="I111" s="178"/>
      <c r="J111" s="48"/>
      <c r="K111" s="49"/>
      <c r="M111" s="772"/>
      <c r="N111" s="46">
        <v>98</v>
      </c>
      <c r="O111" s="47">
        <f t="shared" si="9"/>
        <v>-3.1641684472560882E-10</v>
      </c>
      <c r="P111" s="47">
        <f t="shared" si="7"/>
        <v>0</v>
      </c>
      <c r="Q111" s="47">
        <f t="shared" si="10"/>
        <v>-1.4062970876693726E-7</v>
      </c>
      <c r="R111" s="47">
        <f t="shared" si="8"/>
        <v>-3.1641684472560882E-10</v>
      </c>
      <c r="S111" s="47"/>
      <c r="T111" s="48"/>
      <c r="U111" s="49"/>
    </row>
    <row r="112" spans="4:21">
      <c r="D112" s="770"/>
      <c r="E112" s="180">
        <v>95</v>
      </c>
      <c r="F112" s="185">
        <f t="shared" si="11"/>
        <v>11841.268261497011</v>
      </c>
      <c r="G112" s="186">
        <f t="shared" si="12"/>
        <v>2628435.95654822</v>
      </c>
      <c r="H112" s="187">
        <f t="shared" si="13"/>
        <v>2640277.2248097169</v>
      </c>
      <c r="I112" s="178"/>
      <c r="J112" s="48"/>
      <c r="K112" s="49"/>
      <c r="M112" s="772"/>
      <c r="N112" s="46">
        <v>99</v>
      </c>
      <c r="O112" s="47">
        <f t="shared" si="9"/>
        <v>-3.1641684472560882E-10</v>
      </c>
      <c r="P112" s="47">
        <f t="shared" si="7"/>
        <v>0</v>
      </c>
      <c r="Q112" s="47">
        <f t="shared" si="10"/>
        <v>-1.4062970876693726E-7</v>
      </c>
      <c r="R112" s="47">
        <f t="shared" si="8"/>
        <v>-3.1641684472560882E-10</v>
      </c>
      <c r="S112" s="47"/>
      <c r="T112" s="48"/>
      <c r="U112" s="49"/>
    </row>
    <row r="113" spans="4:21" ht="13.5" thickBot="1">
      <c r="D113" s="771"/>
      <c r="E113" s="188">
        <v>96</v>
      </c>
      <c r="F113" s="189">
        <f t="shared" si="11"/>
        <v>5927.2873592635187</v>
      </c>
      <c r="G113" s="190">
        <f t="shared" si="12"/>
        <v>2634349.9374504536</v>
      </c>
      <c r="H113" s="191">
        <f t="shared" si="13"/>
        <v>2640277.2248097174</v>
      </c>
      <c r="I113" s="192">
        <f>SUM(F102:F113)</f>
        <v>458544.03996682831</v>
      </c>
      <c r="J113" s="193">
        <f>SUM(G102:G113)</f>
        <v>31224782.657749776</v>
      </c>
      <c r="K113" s="194">
        <f>I113+J113</f>
        <v>31683326.697716605</v>
      </c>
      <c r="M113" s="772"/>
      <c r="N113" s="46">
        <v>100</v>
      </c>
      <c r="O113" s="47">
        <f t="shared" si="9"/>
        <v>-3.1641684472560882E-10</v>
      </c>
      <c r="P113" s="47">
        <f t="shared" si="7"/>
        <v>0</v>
      </c>
      <c r="Q113" s="47">
        <f t="shared" si="10"/>
        <v>-1.4062970876693726E-7</v>
      </c>
      <c r="R113" s="47">
        <f t="shared" si="8"/>
        <v>-3.1641684472560882E-10</v>
      </c>
      <c r="S113" s="47"/>
      <c r="T113" s="48"/>
      <c r="U113" s="49"/>
    </row>
    <row r="114" spans="4:21">
      <c r="D114" s="769">
        <v>9</v>
      </c>
      <c r="E114" s="195">
        <v>97</v>
      </c>
      <c r="F114" s="196">
        <f t="shared" si="11"/>
        <v>0</v>
      </c>
      <c r="G114" s="197">
        <f t="shared" si="12"/>
        <v>0</v>
      </c>
      <c r="H114" s="198">
        <f t="shared" si="13"/>
        <v>0</v>
      </c>
      <c r="I114" s="199"/>
      <c r="J114" s="200"/>
      <c r="K114" s="201"/>
      <c r="M114" s="772"/>
      <c r="N114" s="46">
        <v>101</v>
      </c>
      <c r="O114" s="47">
        <f t="shared" si="9"/>
        <v>-3.1641684472560882E-10</v>
      </c>
      <c r="P114" s="47">
        <f t="shared" si="7"/>
        <v>0</v>
      </c>
      <c r="Q114" s="47">
        <f t="shared" si="10"/>
        <v>-1.4062970876693726E-7</v>
      </c>
      <c r="R114" s="47">
        <f t="shared" si="8"/>
        <v>-3.1641684472560882E-10</v>
      </c>
      <c r="S114" s="47"/>
      <c r="T114" s="48"/>
      <c r="U114" s="49"/>
    </row>
    <row r="115" spans="4:21">
      <c r="D115" s="770"/>
      <c r="E115" s="180">
        <v>98</v>
      </c>
      <c r="F115" s="185">
        <f t="shared" si="11"/>
        <v>0</v>
      </c>
      <c r="G115" s="186">
        <f t="shared" si="12"/>
        <v>0</v>
      </c>
      <c r="H115" s="187">
        <f t="shared" si="13"/>
        <v>0</v>
      </c>
      <c r="I115" s="178"/>
      <c r="J115" s="48"/>
      <c r="K115" s="49"/>
      <c r="M115" s="772"/>
      <c r="N115" s="46">
        <v>102</v>
      </c>
      <c r="O115" s="47">
        <f t="shared" si="9"/>
        <v>-3.1641684472560882E-10</v>
      </c>
      <c r="P115" s="47">
        <f t="shared" si="7"/>
        <v>0</v>
      </c>
      <c r="Q115" s="47">
        <f t="shared" si="10"/>
        <v>-1.4062970876693726E-7</v>
      </c>
      <c r="R115" s="47">
        <f t="shared" si="8"/>
        <v>-3.1641684472560882E-10</v>
      </c>
      <c r="S115" s="47"/>
      <c r="T115" s="48"/>
      <c r="U115" s="49"/>
    </row>
    <row r="116" spans="4:21">
      <c r="D116" s="770"/>
      <c r="E116" s="180">
        <v>99</v>
      </c>
      <c r="F116" s="185">
        <f t="shared" si="11"/>
        <v>0</v>
      </c>
      <c r="G116" s="186">
        <f t="shared" si="12"/>
        <v>0</v>
      </c>
      <c r="H116" s="187">
        <f t="shared" si="13"/>
        <v>0</v>
      </c>
      <c r="I116" s="178"/>
      <c r="J116" s="48"/>
      <c r="K116" s="49"/>
      <c r="M116" s="772"/>
      <c r="N116" s="46">
        <v>103</v>
      </c>
      <c r="O116" s="47">
        <f t="shared" si="9"/>
        <v>-3.1641684472560882E-10</v>
      </c>
      <c r="P116" s="47">
        <f t="shared" si="7"/>
        <v>0</v>
      </c>
      <c r="Q116" s="47">
        <f t="shared" si="10"/>
        <v>-1.4062970876693726E-7</v>
      </c>
      <c r="R116" s="47">
        <f t="shared" si="8"/>
        <v>-3.1641684472560882E-10</v>
      </c>
      <c r="S116" s="47"/>
      <c r="T116" s="48"/>
      <c r="U116" s="49"/>
    </row>
    <row r="117" spans="4:21">
      <c r="D117" s="770"/>
      <c r="E117" s="180">
        <v>100</v>
      </c>
      <c r="F117" s="185">
        <f t="shared" si="11"/>
        <v>0</v>
      </c>
      <c r="G117" s="186">
        <f t="shared" si="12"/>
        <v>0</v>
      </c>
      <c r="H117" s="187">
        <f t="shared" si="13"/>
        <v>0</v>
      </c>
      <c r="I117" s="178"/>
      <c r="J117" s="48"/>
      <c r="K117" s="49"/>
      <c r="M117" s="772"/>
      <c r="N117" s="46">
        <v>104</v>
      </c>
      <c r="O117" s="47">
        <f t="shared" si="9"/>
        <v>-3.1641684472560882E-10</v>
      </c>
      <c r="P117" s="47">
        <f t="shared" si="7"/>
        <v>0</v>
      </c>
      <c r="Q117" s="47">
        <f t="shared" si="10"/>
        <v>-1.4062970876693726E-7</v>
      </c>
      <c r="R117" s="47">
        <f t="shared" si="8"/>
        <v>-3.1641684472560882E-10</v>
      </c>
      <c r="S117" s="47"/>
      <c r="T117" s="48"/>
      <c r="U117" s="49"/>
    </row>
    <row r="118" spans="4:21">
      <c r="D118" s="770"/>
      <c r="E118" s="180">
        <v>101</v>
      </c>
      <c r="F118" s="185">
        <f t="shared" si="11"/>
        <v>0</v>
      </c>
      <c r="G118" s="186">
        <f t="shared" si="12"/>
        <v>0</v>
      </c>
      <c r="H118" s="187">
        <f t="shared" si="13"/>
        <v>0</v>
      </c>
      <c r="I118" s="178"/>
      <c r="J118" s="48"/>
      <c r="K118" s="49"/>
      <c r="M118" s="772"/>
      <c r="N118" s="46">
        <v>105</v>
      </c>
      <c r="O118" s="47">
        <f t="shared" si="9"/>
        <v>-3.1641684472560882E-10</v>
      </c>
      <c r="P118" s="47">
        <f t="shared" si="7"/>
        <v>0</v>
      </c>
      <c r="Q118" s="47">
        <f t="shared" si="10"/>
        <v>-1.4062970876693726E-7</v>
      </c>
      <c r="R118" s="47">
        <f t="shared" si="8"/>
        <v>-3.1641684472560882E-10</v>
      </c>
      <c r="S118" s="47"/>
      <c r="T118" s="48"/>
      <c r="U118" s="49"/>
    </row>
    <row r="119" spans="4:21">
      <c r="D119" s="770"/>
      <c r="E119" s="180">
        <v>102</v>
      </c>
      <c r="F119" s="185">
        <f t="shared" si="11"/>
        <v>0</v>
      </c>
      <c r="G119" s="186">
        <f t="shared" si="12"/>
        <v>0</v>
      </c>
      <c r="H119" s="187">
        <f t="shared" si="13"/>
        <v>0</v>
      </c>
      <c r="I119" s="178"/>
      <c r="J119" s="48"/>
      <c r="K119" s="49"/>
      <c r="M119" s="772"/>
      <c r="N119" s="46">
        <v>106</v>
      </c>
      <c r="O119" s="47">
        <f t="shared" si="9"/>
        <v>-3.1641684472560882E-10</v>
      </c>
      <c r="P119" s="47">
        <f t="shared" si="7"/>
        <v>0</v>
      </c>
      <c r="Q119" s="47">
        <f t="shared" si="10"/>
        <v>-1.4062970876693726E-7</v>
      </c>
      <c r="R119" s="47">
        <f t="shared" si="8"/>
        <v>-3.1641684472560882E-10</v>
      </c>
      <c r="S119" s="47"/>
      <c r="T119" s="48"/>
      <c r="U119" s="49"/>
    </row>
    <row r="120" spans="4:21">
      <c r="D120" s="770"/>
      <c r="E120" s="180">
        <v>103</v>
      </c>
      <c r="F120" s="185">
        <f t="shared" si="11"/>
        <v>0</v>
      </c>
      <c r="G120" s="186">
        <f t="shared" si="12"/>
        <v>0</v>
      </c>
      <c r="H120" s="187">
        <f t="shared" si="13"/>
        <v>0</v>
      </c>
      <c r="I120" s="178"/>
      <c r="J120" s="48"/>
      <c r="K120" s="49"/>
      <c r="M120" s="772"/>
      <c r="N120" s="46">
        <v>107</v>
      </c>
      <c r="O120" s="47">
        <f t="shared" si="9"/>
        <v>-3.1641684472560882E-10</v>
      </c>
      <c r="P120" s="47">
        <f t="shared" si="7"/>
        <v>0</v>
      </c>
      <c r="Q120" s="47">
        <f t="shared" si="10"/>
        <v>-1.4062970876693726E-7</v>
      </c>
      <c r="R120" s="47">
        <f t="shared" si="8"/>
        <v>-3.1641684472560882E-10</v>
      </c>
      <c r="S120" s="47"/>
      <c r="T120" s="48"/>
      <c r="U120" s="49"/>
    </row>
    <row r="121" spans="4:21">
      <c r="D121" s="770"/>
      <c r="E121" s="180">
        <v>104</v>
      </c>
      <c r="F121" s="185">
        <f t="shared" si="11"/>
        <v>0</v>
      </c>
      <c r="G121" s="186">
        <f t="shared" si="12"/>
        <v>0</v>
      </c>
      <c r="H121" s="187">
        <f t="shared" si="13"/>
        <v>0</v>
      </c>
      <c r="I121" s="178"/>
      <c r="J121" s="48"/>
      <c r="K121" s="49"/>
      <c r="M121" s="772"/>
      <c r="N121" s="46">
        <v>108</v>
      </c>
      <c r="O121" s="47">
        <f t="shared" si="9"/>
        <v>-3.1641684472560882E-10</v>
      </c>
      <c r="P121" s="47">
        <f t="shared" si="7"/>
        <v>0</v>
      </c>
      <c r="Q121" s="47">
        <f t="shared" si="10"/>
        <v>-1.4062970876693726E-7</v>
      </c>
      <c r="R121" s="47">
        <f t="shared" si="8"/>
        <v>-3.1641684472560882E-10</v>
      </c>
      <c r="S121" s="47">
        <f>SUM(O110:O121)</f>
        <v>-3.7970021367073059E-9</v>
      </c>
      <c r="T121" s="47">
        <f>SUM(P110:P121)</f>
        <v>0</v>
      </c>
      <c r="U121" s="50">
        <f>S121+T121</f>
        <v>-3.7970021367073059E-9</v>
      </c>
    </row>
    <row r="122" spans="4:21">
      <c r="D122" s="770"/>
      <c r="E122" s="180">
        <v>105</v>
      </c>
      <c r="F122" s="185">
        <f t="shared" si="11"/>
        <v>0</v>
      </c>
      <c r="G122" s="186">
        <f t="shared" si="12"/>
        <v>0</v>
      </c>
      <c r="H122" s="187">
        <f t="shared" si="13"/>
        <v>0</v>
      </c>
      <c r="I122" s="178"/>
      <c r="J122" s="48"/>
      <c r="K122" s="49"/>
      <c r="M122" s="772">
        <v>10</v>
      </c>
      <c r="N122" s="46">
        <v>109</v>
      </c>
      <c r="O122" s="47">
        <f t="shared" si="9"/>
        <v>-3.1641684472560882E-10</v>
      </c>
      <c r="P122" s="47">
        <f t="shared" si="7"/>
        <v>0</v>
      </c>
      <c r="Q122" s="47">
        <f t="shared" si="10"/>
        <v>-1.4062970876693726E-7</v>
      </c>
      <c r="R122" s="47">
        <f t="shared" si="8"/>
        <v>-3.1641684472560882E-10</v>
      </c>
      <c r="S122" s="47"/>
      <c r="T122" s="48"/>
      <c r="U122" s="49"/>
    </row>
    <row r="123" spans="4:21">
      <c r="D123" s="770"/>
      <c r="E123" s="180">
        <v>106</v>
      </c>
      <c r="F123" s="185">
        <f t="shared" si="11"/>
        <v>0</v>
      </c>
      <c r="G123" s="186">
        <f t="shared" si="12"/>
        <v>0</v>
      </c>
      <c r="H123" s="187">
        <f t="shared" si="13"/>
        <v>0</v>
      </c>
      <c r="I123" s="178"/>
      <c r="J123" s="48"/>
      <c r="K123" s="49"/>
      <c r="M123" s="772"/>
      <c r="N123" s="46">
        <v>110</v>
      </c>
      <c r="O123" s="47">
        <f t="shared" si="9"/>
        <v>-3.1641684472560882E-10</v>
      </c>
      <c r="P123" s="47">
        <f t="shared" si="7"/>
        <v>0</v>
      </c>
      <c r="Q123" s="47">
        <f t="shared" si="10"/>
        <v>-1.4062970876693726E-7</v>
      </c>
      <c r="R123" s="47">
        <f t="shared" si="8"/>
        <v>-3.1641684472560882E-10</v>
      </c>
      <c r="S123" s="47"/>
      <c r="T123" s="48"/>
      <c r="U123" s="49"/>
    </row>
    <row r="124" spans="4:21">
      <c r="D124" s="770"/>
      <c r="E124" s="180">
        <v>107</v>
      </c>
      <c r="F124" s="185">
        <f t="shared" si="11"/>
        <v>0</v>
      </c>
      <c r="G124" s="186">
        <f t="shared" si="12"/>
        <v>0</v>
      </c>
      <c r="H124" s="187">
        <f t="shared" si="13"/>
        <v>0</v>
      </c>
      <c r="I124" s="178"/>
      <c r="J124" s="48"/>
      <c r="K124" s="49"/>
      <c r="M124" s="772"/>
      <c r="N124" s="46">
        <v>111</v>
      </c>
      <c r="O124" s="47">
        <f t="shared" si="9"/>
        <v>-3.1641684472560882E-10</v>
      </c>
      <c r="P124" s="47">
        <f t="shared" si="7"/>
        <v>0</v>
      </c>
      <c r="Q124" s="47">
        <f t="shared" si="10"/>
        <v>-1.4062970876693726E-7</v>
      </c>
      <c r="R124" s="47">
        <f t="shared" si="8"/>
        <v>-3.1641684472560882E-10</v>
      </c>
      <c r="S124" s="47"/>
      <c r="T124" s="48"/>
      <c r="U124" s="49"/>
    </row>
    <row r="125" spans="4:21" ht="13.5" thickBot="1">
      <c r="D125" s="771"/>
      <c r="E125" s="188">
        <v>108</v>
      </c>
      <c r="F125" s="189">
        <f t="shared" si="11"/>
        <v>0</v>
      </c>
      <c r="G125" s="190">
        <f t="shared" si="12"/>
        <v>0</v>
      </c>
      <c r="H125" s="191">
        <f t="shared" si="13"/>
        <v>0</v>
      </c>
      <c r="I125" s="192">
        <f>SUM(F114:F125)</f>
        <v>0</v>
      </c>
      <c r="J125" s="193">
        <f>SUM(G114:G125)</f>
        <v>0</v>
      </c>
      <c r="K125" s="194">
        <f>I125+J125</f>
        <v>0</v>
      </c>
      <c r="M125" s="772"/>
      <c r="N125" s="46">
        <v>112</v>
      </c>
      <c r="O125" s="47">
        <f t="shared" si="9"/>
        <v>-3.1641684472560882E-10</v>
      </c>
      <c r="P125" s="47">
        <f t="shared" si="7"/>
        <v>0</v>
      </c>
      <c r="Q125" s="47">
        <f t="shared" si="10"/>
        <v>-1.4062970876693726E-7</v>
      </c>
      <c r="R125" s="47">
        <f t="shared" si="8"/>
        <v>-3.1641684472560882E-10</v>
      </c>
      <c r="S125" s="47"/>
      <c r="T125" s="48"/>
      <c r="U125" s="49"/>
    </row>
    <row r="126" spans="4:21">
      <c r="D126" s="769">
        <v>10</v>
      </c>
      <c r="E126" s="195">
        <v>109</v>
      </c>
      <c r="F126" s="196">
        <f t="shared" si="11"/>
        <v>0</v>
      </c>
      <c r="G126" s="197">
        <f t="shared" si="12"/>
        <v>0</v>
      </c>
      <c r="H126" s="198">
        <f t="shared" si="13"/>
        <v>0</v>
      </c>
      <c r="I126" s="199"/>
      <c r="J126" s="200"/>
      <c r="K126" s="201"/>
      <c r="M126" s="772"/>
      <c r="N126" s="46">
        <v>113</v>
      </c>
      <c r="O126" s="47">
        <f t="shared" si="9"/>
        <v>-3.1641684472560882E-10</v>
      </c>
      <c r="P126" s="47">
        <f t="shared" si="7"/>
        <v>0</v>
      </c>
      <c r="Q126" s="47">
        <f t="shared" si="10"/>
        <v>-1.4062970876693726E-7</v>
      </c>
      <c r="R126" s="47">
        <f t="shared" si="8"/>
        <v>-3.1641684472560882E-10</v>
      </c>
      <c r="S126" s="47"/>
      <c r="T126" s="48"/>
      <c r="U126" s="49"/>
    </row>
    <row r="127" spans="4:21">
      <c r="D127" s="770"/>
      <c r="E127" s="180">
        <v>110</v>
      </c>
      <c r="F127" s="185">
        <f t="shared" si="11"/>
        <v>0</v>
      </c>
      <c r="G127" s="186">
        <f t="shared" si="12"/>
        <v>0</v>
      </c>
      <c r="H127" s="187">
        <f t="shared" si="13"/>
        <v>0</v>
      </c>
      <c r="I127" s="178"/>
      <c r="J127" s="48"/>
      <c r="K127" s="49"/>
      <c r="M127" s="772"/>
      <c r="N127" s="46">
        <v>114</v>
      </c>
      <c r="O127" s="47">
        <f t="shared" si="9"/>
        <v>-3.1641684472560882E-10</v>
      </c>
      <c r="P127" s="47">
        <f t="shared" si="7"/>
        <v>0</v>
      </c>
      <c r="Q127" s="47">
        <f t="shared" si="10"/>
        <v>-1.4062970876693726E-7</v>
      </c>
      <c r="R127" s="47">
        <f t="shared" si="8"/>
        <v>-3.1641684472560882E-10</v>
      </c>
      <c r="S127" s="47"/>
      <c r="T127" s="48"/>
      <c r="U127" s="49"/>
    </row>
    <row r="128" spans="4:21">
      <c r="D128" s="770"/>
      <c r="E128" s="180">
        <v>111</v>
      </c>
      <c r="F128" s="185">
        <f t="shared" si="11"/>
        <v>0</v>
      </c>
      <c r="G128" s="186">
        <f t="shared" si="12"/>
        <v>0</v>
      </c>
      <c r="H128" s="187">
        <f t="shared" si="13"/>
        <v>0</v>
      </c>
      <c r="I128" s="178"/>
      <c r="J128" s="48"/>
      <c r="K128" s="49"/>
      <c r="M128" s="772"/>
      <c r="N128" s="46">
        <v>115</v>
      </c>
      <c r="O128" s="47">
        <f t="shared" si="9"/>
        <v>-3.1641684472560882E-10</v>
      </c>
      <c r="P128" s="47">
        <f t="shared" si="7"/>
        <v>0</v>
      </c>
      <c r="Q128" s="47">
        <f t="shared" si="10"/>
        <v>-1.4062970876693726E-7</v>
      </c>
      <c r="R128" s="47">
        <f t="shared" si="8"/>
        <v>-3.1641684472560882E-10</v>
      </c>
      <c r="S128" s="47"/>
      <c r="T128" s="48"/>
      <c r="U128" s="49"/>
    </row>
    <row r="129" spans="4:21">
      <c r="D129" s="770"/>
      <c r="E129" s="180">
        <v>112</v>
      </c>
      <c r="F129" s="185">
        <f t="shared" si="11"/>
        <v>0</v>
      </c>
      <c r="G129" s="186">
        <f t="shared" si="12"/>
        <v>0</v>
      </c>
      <c r="H129" s="187">
        <f t="shared" si="13"/>
        <v>0</v>
      </c>
      <c r="I129" s="178"/>
      <c r="J129" s="48"/>
      <c r="K129" s="49"/>
      <c r="M129" s="772"/>
      <c r="N129" s="46">
        <v>116</v>
      </c>
      <c r="O129" s="47">
        <f t="shared" si="9"/>
        <v>-3.1641684472560882E-10</v>
      </c>
      <c r="P129" s="47">
        <f t="shared" si="7"/>
        <v>0</v>
      </c>
      <c r="Q129" s="47">
        <f t="shared" si="10"/>
        <v>-1.4062970876693726E-7</v>
      </c>
      <c r="R129" s="47">
        <f t="shared" si="8"/>
        <v>-3.1641684472560882E-10</v>
      </c>
      <c r="S129" s="47"/>
      <c r="T129" s="48"/>
      <c r="U129" s="49"/>
    </row>
    <row r="130" spans="4:21">
      <c r="D130" s="770"/>
      <c r="E130" s="180">
        <v>113</v>
      </c>
      <c r="F130" s="185">
        <f t="shared" si="11"/>
        <v>0</v>
      </c>
      <c r="G130" s="186">
        <f t="shared" si="12"/>
        <v>0</v>
      </c>
      <c r="H130" s="187">
        <f t="shared" si="13"/>
        <v>0</v>
      </c>
      <c r="I130" s="178"/>
      <c r="J130" s="48"/>
      <c r="K130" s="49"/>
      <c r="M130" s="772"/>
      <c r="N130" s="46">
        <v>117</v>
      </c>
      <c r="O130" s="47">
        <f t="shared" si="9"/>
        <v>-3.1641684472560882E-10</v>
      </c>
      <c r="P130" s="47">
        <f t="shared" si="7"/>
        <v>0</v>
      </c>
      <c r="Q130" s="47">
        <f t="shared" si="10"/>
        <v>-1.4062970876693726E-7</v>
      </c>
      <c r="R130" s="47">
        <f t="shared" si="8"/>
        <v>-3.1641684472560882E-10</v>
      </c>
      <c r="S130" s="47"/>
      <c r="T130" s="48"/>
      <c r="U130" s="49"/>
    </row>
    <row r="131" spans="4:21">
      <c r="D131" s="770"/>
      <c r="E131" s="180">
        <v>114</v>
      </c>
      <c r="F131" s="185">
        <f t="shared" si="11"/>
        <v>0</v>
      </c>
      <c r="G131" s="186">
        <f t="shared" si="12"/>
        <v>0</v>
      </c>
      <c r="H131" s="187">
        <f t="shared" si="13"/>
        <v>0</v>
      </c>
      <c r="I131" s="178"/>
      <c r="J131" s="48"/>
      <c r="K131" s="49"/>
      <c r="M131" s="772"/>
      <c r="N131" s="46">
        <v>118</v>
      </c>
      <c r="O131" s="47">
        <f t="shared" si="9"/>
        <v>-3.1641684472560882E-10</v>
      </c>
      <c r="P131" s="47">
        <f t="shared" si="7"/>
        <v>0</v>
      </c>
      <c r="Q131" s="47">
        <f t="shared" si="10"/>
        <v>-1.4062970876693726E-7</v>
      </c>
      <c r="R131" s="47">
        <f t="shared" si="8"/>
        <v>-3.1641684472560882E-10</v>
      </c>
      <c r="S131" s="47"/>
      <c r="T131" s="48"/>
      <c r="U131" s="49"/>
    </row>
    <row r="132" spans="4:21">
      <c r="D132" s="770"/>
      <c r="E132" s="180">
        <v>115</v>
      </c>
      <c r="F132" s="185">
        <f t="shared" si="11"/>
        <v>0</v>
      </c>
      <c r="G132" s="186">
        <f t="shared" si="12"/>
        <v>0</v>
      </c>
      <c r="H132" s="187">
        <f t="shared" si="13"/>
        <v>0</v>
      </c>
      <c r="I132" s="178"/>
      <c r="J132" s="48"/>
      <c r="K132" s="49"/>
      <c r="M132" s="772"/>
      <c r="N132" s="46">
        <v>119</v>
      </c>
      <c r="O132" s="47">
        <f t="shared" si="9"/>
        <v>-3.1641684472560882E-10</v>
      </c>
      <c r="P132" s="47">
        <f t="shared" si="7"/>
        <v>0</v>
      </c>
      <c r="Q132" s="47">
        <f t="shared" si="10"/>
        <v>-1.4062970876693726E-7</v>
      </c>
      <c r="R132" s="47">
        <f t="shared" si="8"/>
        <v>-3.1641684472560882E-10</v>
      </c>
      <c r="S132" s="47"/>
      <c r="T132" s="48"/>
      <c r="U132" s="49"/>
    </row>
    <row r="133" spans="4:21">
      <c r="D133" s="770"/>
      <c r="E133" s="180">
        <v>116</v>
      </c>
      <c r="F133" s="185">
        <f t="shared" si="11"/>
        <v>0</v>
      </c>
      <c r="G133" s="186">
        <f t="shared" si="12"/>
        <v>0</v>
      </c>
      <c r="H133" s="187">
        <f t="shared" si="13"/>
        <v>0</v>
      </c>
      <c r="I133" s="178"/>
      <c r="J133" s="48"/>
      <c r="K133" s="49"/>
      <c r="M133" s="772"/>
      <c r="N133" s="46">
        <v>120</v>
      </c>
      <c r="O133" s="47">
        <f t="shared" si="9"/>
        <v>-3.1641684472560882E-10</v>
      </c>
      <c r="P133" s="47">
        <f t="shared" si="7"/>
        <v>0</v>
      </c>
      <c r="Q133" s="47">
        <f t="shared" si="10"/>
        <v>-1.4062970876693726E-7</v>
      </c>
      <c r="R133" s="47">
        <f t="shared" si="8"/>
        <v>-3.1641684472560882E-10</v>
      </c>
      <c r="S133" s="47">
        <f>SUM(O122:O133)</f>
        <v>-3.7970021367073059E-9</v>
      </c>
      <c r="T133" s="47">
        <f>SUM(P122:P133)</f>
        <v>0</v>
      </c>
      <c r="U133" s="50">
        <f>S133+T133</f>
        <v>-3.7970021367073059E-9</v>
      </c>
    </row>
    <row r="134" spans="4:21">
      <c r="D134" s="770"/>
      <c r="E134" s="180">
        <v>117</v>
      </c>
      <c r="F134" s="185">
        <f t="shared" si="11"/>
        <v>0</v>
      </c>
      <c r="G134" s="186">
        <f t="shared" si="12"/>
        <v>0</v>
      </c>
      <c r="H134" s="187">
        <f t="shared" si="13"/>
        <v>0</v>
      </c>
      <c r="I134" s="178"/>
      <c r="J134" s="48"/>
      <c r="K134" s="49"/>
      <c r="M134" s="772">
        <v>11</v>
      </c>
      <c r="N134" s="46">
        <v>121</v>
      </c>
      <c r="O134" s="47">
        <f t="shared" si="9"/>
        <v>-3.1641684472560882E-10</v>
      </c>
      <c r="P134" s="47">
        <f t="shared" si="7"/>
        <v>0</v>
      </c>
      <c r="Q134" s="47">
        <f t="shared" si="10"/>
        <v>-1.4062970876693726E-7</v>
      </c>
      <c r="R134" s="47">
        <f t="shared" si="8"/>
        <v>-3.1641684472560882E-10</v>
      </c>
      <c r="S134" s="47"/>
      <c r="T134" s="48"/>
      <c r="U134" s="49"/>
    </row>
    <row r="135" spans="4:21">
      <c r="D135" s="770"/>
      <c r="E135" s="180">
        <v>118</v>
      </c>
      <c r="F135" s="185">
        <f t="shared" si="11"/>
        <v>0</v>
      </c>
      <c r="G135" s="186">
        <f t="shared" si="12"/>
        <v>0</v>
      </c>
      <c r="H135" s="187">
        <f t="shared" si="13"/>
        <v>0</v>
      </c>
      <c r="I135" s="178"/>
      <c r="J135" s="48"/>
      <c r="K135" s="49"/>
      <c r="M135" s="772"/>
      <c r="N135" s="46">
        <v>122</v>
      </c>
      <c r="O135" s="47">
        <f t="shared" si="9"/>
        <v>-3.1641684472560882E-10</v>
      </c>
      <c r="P135" s="47">
        <f t="shared" si="7"/>
        <v>0</v>
      </c>
      <c r="Q135" s="47">
        <f t="shared" si="10"/>
        <v>-1.4062970876693726E-7</v>
      </c>
      <c r="R135" s="47">
        <f t="shared" si="8"/>
        <v>-3.1641684472560882E-10</v>
      </c>
      <c r="S135" s="47"/>
      <c r="T135" s="48"/>
      <c r="U135" s="49"/>
    </row>
    <row r="136" spans="4:21">
      <c r="D136" s="770"/>
      <c r="E136" s="180">
        <v>119</v>
      </c>
      <c r="F136" s="185">
        <f t="shared" si="11"/>
        <v>0</v>
      </c>
      <c r="G136" s="186">
        <f t="shared" si="12"/>
        <v>0</v>
      </c>
      <c r="H136" s="187">
        <f t="shared" si="13"/>
        <v>0</v>
      </c>
      <c r="I136" s="178"/>
      <c r="J136" s="48"/>
      <c r="K136" s="49"/>
      <c r="M136" s="772"/>
      <c r="N136" s="46">
        <v>123</v>
      </c>
      <c r="O136" s="47">
        <f t="shared" si="9"/>
        <v>-3.1641684472560882E-10</v>
      </c>
      <c r="P136" s="47">
        <f t="shared" si="7"/>
        <v>0</v>
      </c>
      <c r="Q136" s="47">
        <f t="shared" si="10"/>
        <v>-1.4062970876693726E-7</v>
      </c>
      <c r="R136" s="47">
        <f t="shared" si="8"/>
        <v>-3.1641684472560882E-10</v>
      </c>
      <c r="S136" s="47"/>
      <c r="T136" s="48"/>
      <c r="U136" s="49"/>
    </row>
    <row r="137" spans="4:21" ht="13.5" thickBot="1">
      <c r="D137" s="771"/>
      <c r="E137" s="188">
        <v>120</v>
      </c>
      <c r="F137" s="189">
        <f t="shared" si="11"/>
        <v>0</v>
      </c>
      <c r="G137" s="190">
        <f t="shared" si="12"/>
        <v>0</v>
      </c>
      <c r="H137" s="191">
        <f t="shared" si="13"/>
        <v>0</v>
      </c>
      <c r="I137" s="192">
        <f>SUM(F126:F137)</f>
        <v>0</v>
      </c>
      <c r="J137" s="193">
        <f>SUM(G126:G137)</f>
        <v>0</v>
      </c>
      <c r="K137" s="194">
        <f>I137+J137</f>
        <v>0</v>
      </c>
      <c r="M137" s="772"/>
      <c r="N137" s="46">
        <v>124</v>
      </c>
      <c r="O137" s="47">
        <f t="shared" si="9"/>
        <v>-3.1641684472560882E-10</v>
      </c>
      <c r="P137" s="47">
        <f t="shared" si="7"/>
        <v>0</v>
      </c>
      <c r="Q137" s="47">
        <f t="shared" si="10"/>
        <v>-1.4062970876693726E-7</v>
      </c>
      <c r="R137" s="47">
        <f t="shared" si="8"/>
        <v>-3.1641684472560882E-10</v>
      </c>
      <c r="S137" s="47"/>
      <c r="T137" s="48"/>
      <c r="U137" s="49"/>
    </row>
    <row r="138" spans="4:21">
      <c r="D138" s="769">
        <v>11</v>
      </c>
      <c r="E138" s="195">
        <v>121</v>
      </c>
      <c r="F138" s="196">
        <f t="shared" si="11"/>
        <v>0</v>
      </c>
      <c r="G138" s="197">
        <f t="shared" si="12"/>
        <v>0</v>
      </c>
      <c r="H138" s="198">
        <f t="shared" si="13"/>
        <v>0</v>
      </c>
      <c r="I138" s="199"/>
      <c r="J138" s="200"/>
      <c r="K138" s="201"/>
      <c r="M138" s="772"/>
      <c r="N138" s="46">
        <v>125</v>
      </c>
      <c r="O138" s="47">
        <f t="shared" si="9"/>
        <v>-3.1641684472560882E-10</v>
      </c>
      <c r="P138" s="47">
        <f t="shared" si="7"/>
        <v>0</v>
      </c>
      <c r="Q138" s="47">
        <f t="shared" si="10"/>
        <v>-1.4062970876693726E-7</v>
      </c>
      <c r="R138" s="47">
        <f t="shared" si="8"/>
        <v>-3.1641684472560882E-10</v>
      </c>
      <c r="S138" s="47"/>
      <c r="T138" s="48"/>
      <c r="U138" s="49"/>
    </row>
    <row r="139" spans="4:21">
      <c r="D139" s="770"/>
      <c r="E139" s="180">
        <v>122</v>
      </c>
      <c r="F139" s="185">
        <f t="shared" si="11"/>
        <v>0</v>
      </c>
      <c r="G139" s="186">
        <f t="shared" si="12"/>
        <v>0</v>
      </c>
      <c r="H139" s="187">
        <f t="shared" si="13"/>
        <v>0</v>
      </c>
      <c r="I139" s="178"/>
      <c r="J139" s="48"/>
      <c r="K139" s="49"/>
      <c r="M139" s="772"/>
      <c r="N139" s="46">
        <v>126</v>
      </c>
      <c r="O139" s="47">
        <f t="shared" si="9"/>
        <v>-3.1641684472560882E-10</v>
      </c>
      <c r="P139" s="47">
        <f t="shared" si="7"/>
        <v>0</v>
      </c>
      <c r="Q139" s="47">
        <f t="shared" si="10"/>
        <v>-1.4062970876693726E-7</v>
      </c>
      <c r="R139" s="47">
        <f t="shared" si="8"/>
        <v>-3.1641684472560882E-10</v>
      </c>
      <c r="S139" s="47"/>
      <c r="T139" s="48"/>
      <c r="U139" s="49"/>
    </row>
    <row r="140" spans="4:21">
      <c r="D140" s="770"/>
      <c r="E140" s="180">
        <v>123</v>
      </c>
      <c r="F140" s="185">
        <f t="shared" si="11"/>
        <v>0</v>
      </c>
      <c r="G140" s="186">
        <f t="shared" si="12"/>
        <v>0</v>
      </c>
      <c r="H140" s="187">
        <f t="shared" si="13"/>
        <v>0</v>
      </c>
      <c r="I140" s="178"/>
      <c r="J140" s="48"/>
      <c r="K140" s="49"/>
      <c r="M140" s="772"/>
      <c r="N140" s="46">
        <v>127</v>
      </c>
      <c r="O140" s="47">
        <f t="shared" si="9"/>
        <v>-3.1641684472560882E-10</v>
      </c>
      <c r="P140" s="47">
        <f t="shared" si="7"/>
        <v>0</v>
      </c>
      <c r="Q140" s="47">
        <f t="shared" si="10"/>
        <v>-1.4062970876693726E-7</v>
      </c>
      <c r="R140" s="47">
        <f t="shared" si="8"/>
        <v>-3.1641684472560882E-10</v>
      </c>
      <c r="S140" s="47"/>
      <c r="T140" s="48"/>
      <c r="U140" s="49"/>
    </row>
    <row r="141" spans="4:21">
      <c r="D141" s="770"/>
      <c r="E141" s="180">
        <v>124</v>
      </c>
      <c r="F141" s="185">
        <f t="shared" si="11"/>
        <v>0</v>
      </c>
      <c r="G141" s="186">
        <f t="shared" si="12"/>
        <v>0</v>
      </c>
      <c r="H141" s="187">
        <f t="shared" si="13"/>
        <v>0</v>
      </c>
      <c r="I141" s="178"/>
      <c r="J141" s="48"/>
      <c r="K141" s="49"/>
      <c r="M141" s="772"/>
      <c r="N141" s="46">
        <v>128</v>
      </c>
      <c r="O141" s="47">
        <f t="shared" si="9"/>
        <v>-3.1641684472560882E-10</v>
      </c>
      <c r="P141" s="47">
        <f t="shared" si="7"/>
        <v>0</v>
      </c>
      <c r="Q141" s="47">
        <f t="shared" si="10"/>
        <v>-1.4062970876693726E-7</v>
      </c>
      <c r="R141" s="47">
        <f t="shared" si="8"/>
        <v>-3.1641684472560882E-10</v>
      </c>
      <c r="S141" s="47"/>
      <c r="T141" s="48"/>
      <c r="U141" s="49"/>
    </row>
    <row r="142" spans="4:21">
      <c r="D142" s="770"/>
      <c r="E142" s="180">
        <v>125</v>
      </c>
      <c r="F142" s="185">
        <f t="shared" si="11"/>
        <v>0</v>
      </c>
      <c r="G142" s="186">
        <f t="shared" si="12"/>
        <v>0</v>
      </c>
      <c r="H142" s="187">
        <f t="shared" si="13"/>
        <v>0</v>
      </c>
      <c r="I142" s="178"/>
      <c r="J142" s="48"/>
      <c r="K142" s="49"/>
      <c r="M142" s="772"/>
      <c r="N142" s="46">
        <v>129</v>
      </c>
      <c r="O142" s="47">
        <f t="shared" si="9"/>
        <v>-3.1641684472560882E-10</v>
      </c>
      <c r="P142" s="47">
        <f t="shared" si="7"/>
        <v>0</v>
      </c>
      <c r="Q142" s="47">
        <f t="shared" si="10"/>
        <v>-1.4062970876693726E-7</v>
      </c>
      <c r="R142" s="47">
        <f t="shared" si="8"/>
        <v>-3.1641684472560882E-10</v>
      </c>
      <c r="S142" s="47"/>
      <c r="T142" s="48"/>
      <c r="U142" s="49"/>
    </row>
    <row r="143" spans="4:21">
      <c r="D143" s="770"/>
      <c r="E143" s="180">
        <v>126</v>
      </c>
      <c r="F143" s="185">
        <f t="shared" si="11"/>
        <v>0</v>
      </c>
      <c r="G143" s="186">
        <f t="shared" si="12"/>
        <v>0</v>
      </c>
      <c r="H143" s="187">
        <f t="shared" si="13"/>
        <v>0</v>
      </c>
      <c r="I143" s="178"/>
      <c r="J143" s="48"/>
      <c r="K143" s="49"/>
      <c r="M143" s="772"/>
      <c r="N143" s="46">
        <v>130</v>
      </c>
      <c r="O143" s="47">
        <f t="shared" si="9"/>
        <v>-3.1641684472560882E-10</v>
      </c>
      <c r="P143" s="47">
        <f t="shared" ref="P143:P193" si="14">IF($N143&gt;$Q$4,0,$O$4/$Q$4)</f>
        <v>0</v>
      </c>
      <c r="Q143" s="47">
        <f t="shared" si="10"/>
        <v>-1.4062970876693726E-7</v>
      </c>
      <c r="R143" s="47">
        <f t="shared" ref="R143:R193" si="15">O143+P143</f>
        <v>-3.1641684472560882E-10</v>
      </c>
      <c r="S143" s="47"/>
      <c r="T143" s="48"/>
      <c r="U143" s="49"/>
    </row>
    <row r="144" spans="4:21">
      <c r="D144" s="770"/>
      <c r="E144" s="180">
        <v>127</v>
      </c>
      <c r="F144" s="185">
        <f t="shared" si="11"/>
        <v>0</v>
      </c>
      <c r="G144" s="186">
        <f t="shared" si="12"/>
        <v>0</v>
      </c>
      <c r="H144" s="187">
        <f t="shared" si="13"/>
        <v>0</v>
      </c>
      <c r="I144" s="178"/>
      <c r="J144" s="48"/>
      <c r="K144" s="49"/>
      <c r="M144" s="772"/>
      <c r="N144" s="46">
        <v>131</v>
      </c>
      <c r="O144" s="47">
        <f t="shared" ref="O144:O193" si="16">Q143*$P$4/12</f>
        <v>-3.1641684472560882E-10</v>
      </c>
      <c r="P144" s="47">
        <f t="shared" si="14"/>
        <v>0</v>
      </c>
      <c r="Q144" s="47">
        <f t="shared" ref="Q144:Q193" si="17">Q143-P144</f>
        <v>-1.4062970876693726E-7</v>
      </c>
      <c r="R144" s="47">
        <f t="shared" si="15"/>
        <v>-3.1641684472560882E-10</v>
      </c>
      <c r="S144" s="47"/>
      <c r="T144" s="48"/>
      <c r="U144" s="49"/>
    </row>
    <row r="145" spans="4:21">
      <c r="D145" s="770"/>
      <c r="E145" s="180">
        <v>128</v>
      </c>
      <c r="F145" s="185">
        <f t="shared" si="11"/>
        <v>0</v>
      </c>
      <c r="G145" s="186">
        <f t="shared" si="12"/>
        <v>0</v>
      </c>
      <c r="H145" s="187">
        <f t="shared" si="13"/>
        <v>0</v>
      </c>
      <c r="I145" s="178"/>
      <c r="J145" s="48"/>
      <c r="K145" s="49"/>
      <c r="M145" s="772"/>
      <c r="N145" s="46">
        <v>132</v>
      </c>
      <c r="O145" s="47">
        <f t="shared" si="16"/>
        <v>-3.1641684472560882E-10</v>
      </c>
      <c r="P145" s="47">
        <f t="shared" si="14"/>
        <v>0</v>
      </c>
      <c r="Q145" s="47">
        <f t="shared" si="17"/>
        <v>-1.4062970876693726E-7</v>
      </c>
      <c r="R145" s="47">
        <f t="shared" si="15"/>
        <v>-3.1641684472560882E-10</v>
      </c>
      <c r="S145" s="47">
        <f>SUM(O134:O145)</f>
        <v>-3.7970021367073059E-9</v>
      </c>
      <c r="T145" s="47">
        <f>SUM(P134:P145)</f>
        <v>0</v>
      </c>
      <c r="U145" s="50">
        <f>S145+T145</f>
        <v>-3.7970021367073059E-9</v>
      </c>
    </row>
    <row r="146" spans="4:21">
      <c r="D146" s="770"/>
      <c r="E146" s="180">
        <v>129</v>
      </c>
      <c r="F146" s="185">
        <f t="shared" si="11"/>
        <v>0</v>
      </c>
      <c r="G146" s="186">
        <f t="shared" si="12"/>
        <v>0</v>
      </c>
      <c r="H146" s="187">
        <f t="shared" si="13"/>
        <v>0</v>
      </c>
      <c r="I146" s="178"/>
      <c r="J146" s="48"/>
      <c r="K146" s="49"/>
      <c r="M146" s="772">
        <v>12</v>
      </c>
      <c r="N146" s="46">
        <v>133</v>
      </c>
      <c r="O146" s="47">
        <f t="shared" si="16"/>
        <v>-3.1641684472560882E-10</v>
      </c>
      <c r="P146" s="47">
        <f t="shared" si="14"/>
        <v>0</v>
      </c>
      <c r="Q146" s="47">
        <f t="shared" si="17"/>
        <v>-1.4062970876693726E-7</v>
      </c>
      <c r="R146" s="47">
        <f t="shared" si="15"/>
        <v>-3.1641684472560882E-10</v>
      </c>
      <c r="S146" s="47"/>
      <c r="T146" s="48"/>
      <c r="U146" s="49"/>
    </row>
    <row r="147" spans="4:21">
      <c r="D147" s="770"/>
      <c r="E147" s="180">
        <v>130</v>
      </c>
      <c r="F147" s="185">
        <f t="shared" si="11"/>
        <v>0</v>
      </c>
      <c r="G147" s="186">
        <f t="shared" si="12"/>
        <v>0</v>
      </c>
      <c r="H147" s="187">
        <f t="shared" si="13"/>
        <v>0</v>
      </c>
      <c r="I147" s="178"/>
      <c r="J147" s="48"/>
      <c r="K147" s="49"/>
      <c r="M147" s="772"/>
      <c r="N147" s="46">
        <v>134</v>
      </c>
      <c r="O147" s="47">
        <f t="shared" si="16"/>
        <v>-3.1641684472560882E-10</v>
      </c>
      <c r="P147" s="47">
        <f t="shared" si="14"/>
        <v>0</v>
      </c>
      <c r="Q147" s="47">
        <f t="shared" si="17"/>
        <v>-1.4062970876693726E-7</v>
      </c>
      <c r="R147" s="47">
        <f t="shared" si="15"/>
        <v>-3.1641684472560882E-10</v>
      </c>
      <c r="S147" s="47"/>
      <c r="T147" s="48"/>
      <c r="U147" s="49"/>
    </row>
    <row r="148" spans="4:21">
      <c r="D148" s="770"/>
      <c r="E148" s="180">
        <v>131</v>
      </c>
      <c r="F148" s="185">
        <f t="shared" si="11"/>
        <v>0</v>
      </c>
      <c r="G148" s="186">
        <f t="shared" si="12"/>
        <v>0</v>
      </c>
      <c r="H148" s="187">
        <f t="shared" si="13"/>
        <v>0</v>
      </c>
      <c r="I148" s="178"/>
      <c r="J148" s="48"/>
      <c r="K148" s="49"/>
      <c r="M148" s="772"/>
      <c r="N148" s="46">
        <v>135</v>
      </c>
      <c r="O148" s="47">
        <f t="shared" si="16"/>
        <v>-3.1641684472560882E-10</v>
      </c>
      <c r="P148" s="47">
        <f t="shared" si="14"/>
        <v>0</v>
      </c>
      <c r="Q148" s="47">
        <f t="shared" si="17"/>
        <v>-1.4062970876693726E-7</v>
      </c>
      <c r="R148" s="47">
        <f t="shared" si="15"/>
        <v>-3.1641684472560882E-10</v>
      </c>
      <c r="S148" s="47"/>
      <c r="T148" s="48"/>
      <c r="U148" s="49"/>
    </row>
    <row r="149" spans="4:21" ht="13.5" thickBot="1">
      <c r="D149" s="771"/>
      <c r="E149" s="188">
        <v>132</v>
      </c>
      <c r="F149" s="189">
        <f t="shared" ref="F149:F197" si="18">IF($E149&gt;$H$4,0,-IPMT($G$4/12,$E149,$H$4,$F$4,0))</f>
        <v>0</v>
      </c>
      <c r="G149" s="190">
        <f t="shared" ref="G149:G197" si="19">IF($E149&gt;$H$4,0,-PPMT($G$4/12,$E149,$H$4,$F$4,0))</f>
        <v>0</v>
      </c>
      <c r="H149" s="191">
        <f t="shared" si="13"/>
        <v>0</v>
      </c>
      <c r="I149" s="192">
        <f>SUM(F138:F149)</f>
        <v>0</v>
      </c>
      <c r="J149" s="193">
        <f>SUM(G138:G149)</f>
        <v>0</v>
      </c>
      <c r="K149" s="194">
        <f>I149+J149</f>
        <v>0</v>
      </c>
      <c r="M149" s="772"/>
      <c r="N149" s="46">
        <v>136</v>
      </c>
      <c r="O149" s="47">
        <f t="shared" si="16"/>
        <v>-3.1641684472560882E-10</v>
      </c>
      <c r="P149" s="47">
        <f t="shared" si="14"/>
        <v>0</v>
      </c>
      <c r="Q149" s="47">
        <f t="shared" si="17"/>
        <v>-1.4062970876693726E-7</v>
      </c>
      <c r="R149" s="47">
        <f t="shared" si="15"/>
        <v>-3.1641684472560882E-10</v>
      </c>
      <c r="S149" s="47"/>
      <c r="T149" s="48"/>
      <c r="U149" s="49"/>
    </row>
    <row r="150" spans="4:21">
      <c r="D150" s="769">
        <v>12</v>
      </c>
      <c r="E150" s="195">
        <v>133</v>
      </c>
      <c r="F150" s="196">
        <f t="shared" si="18"/>
        <v>0</v>
      </c>
      <c r="G150" s="197">
        <f t="shared" si="19"/>
        <v>0</v>
      </c>
      <c r="H150" s="198">
        <f t="shared" ref="H150:H197" si="20">F150+G150</f>
        <v>0</v>
      </c>
      <c r="I150" s="199"/>
      <c r="J150" s="200"/>
      <c r="K150" s="201"/>
      <c r="M150" s="772"/>
      <c r="N150" s="46">
        <v>137</v>
      </c>
      <c r="O150" s="47">
        <f t="shared" si="16"/>
        <v>-3.1641684472560882E-10</v>
      </c>
      <c r="P150" s="47">
        <f t="shared" si="14"/>
        <v>0</v>
      </c>
      <c r="Q150" s="47">
        <f t="shared" si="17"/>
        <v>-1.4062970876693726E-7</v>
      </c>
      <c r="R150" s="47">
        <f t="shared" si="15"/>
        <v>-3.1641684472560882E-10</v>
      </c>
      <c r="S150" s="47"/>
      <c r="T150" s="48"/>
      <c r="U150" s="49"/>
    </row>
    <row r="151" spans="4:21">
      <c r="D151" s="770"/>
      <c r="E151" s="180">
        <v>134</v>
      </c>
      <c r="F151" s="185">
        <f t="shared" si="18"/>
        <v>0</v>
      </c>
      <c r="G151" s="186">
        <f t="shared" si="19"/>
        <v>0</v>
      </c>
      <c r="H151" s="187">
        <f t="shared" si="20"/>
        <v>0</v>
      </c>
      <c r="I151" s="178"/>
      <c r="J151" s="48"/>
      <c r="K151" s="49"/>
      <c r="M151" s="772"/>
      <c r="N151" s="46">
        <v>138</v>
      </c>
      <c r="O151" s="47">
        <f t="shared" si="16"/>
        <v>-3.1641684472560882E-10</v>
      </c>
      <c r="P151" s="47">
        <f t="shared" si="14"/>
        <v>0</v>
      </c>
      <c r="Q151" s="47">
        <f t="shared" si="17"/>
        <v>-1.4062970876693726E-7</v>
      </c>
      <c r="R151" s="47">
        <f t="shared" si="15"/>
        <v>-3.1641684472560882E-10</v>
      </c>
      <c r="S151" s="47"/>
      <c r="T151" s="48"/>
      <c r="U151" s="49"/>
    </row>
    <row r="152" spans="4:21">
      <c r="D152" s="770"/>
      <c r="E152" s="180">
        <v>135</v>
      </c>
      <c r="F152" s="185">
        <f t="shared" si="18"/>
        <v>0</v>
      </c>
      <c r="G152" s="186">
        <f t="shared" si="19"/>
        <v>0</v>
      </c>
      <c r="H152" s="187">
        <f t="shared" si="20"/>
        <v>0</v>
      </c>
      <c r="I152" s="178"/>
      <c r="J152" s="48"/>
      <c r="K152" s="49"/>
      <c r="M152" s="772"/>
      <c r="N152" s="46">
        <v>139</v>
      </c>
      <c r="O152" s="47">
        <f t="shared" si="16"/>
        <v>-3.1641684472560882E-10</v>
      </c>
      <c r="P152" s="47">
        <f t="shared" si="14"/>
        <v>0</v>
      </c>
      <c r="Q152" s="47">
        <f t="shared" si="17"/>
        <v>-1.4062970876693726E-7</v>
      </c>
      <c r="R152" s="47">
        <f t="shared" si="15"/>
        <v>-3.1641684472560882E-10</v>
      </c>
      <c r="S152" s="47"/>
      <c r="T152" s="48"/>
      <c r="U152" s="49"/>
    </row>
    <row r="153" spans="4:21">
      <c r="D153" s="770"/>
      <c r="E153" s="180">
        <v>136</v>
      </c>
      <c r="F153" s="185">
        <f t="shared" si="18"/>
        <v>0</v>
      </c>
      <c r="G153" s="186">
        <f t="shared" si="19"/>
        <v>0</v>
      </c>
      <c r="H153" s="187">
        <f t="shared" si="20"/>
        <v>0</v>
      </c>
      <c r="I153" s="178"/>
      <c r="J153" s="48"/>
      <c r="K153" s="49"/>
      <c r="M153" s="772"/>
      <c r="N153" s="46">
        <v>140</v>
      </c>
      <c r="O153" s="47">
        <f t="shared" si="16"/>
        <v>-3.1641684472560882E-10</v>
      </c>
      <c r="P153" s="47">
        <f t="shared" si="14"/>
        <v>0</v>
      </c>
      <c r="Q153" s="47">
        <f t="shared" si="17"/>
        <v>-1.4062970876693726E-7</v>
      </c>
      <c r="R153" s="47">
        <f t="shared" si="15"/>
        <v>-3.1641684472560882E-10</v>
      </c>
      <c r="S153" s="47"/>
      <c r="T153" s="48"/>
      <c r="U153" s="49"/>
    </row>
    <row r="154" spans="4:21">
      <c r="D154" s="770"/>
      <c r="E154" s="180">
        <v>137</v>
      </c>
      <c r="F154" s="185">
        <f t="shared" si="18"/>
        <v>0</v>
      </c>
      <c r="G154" s="186">
        <f t="shared" si="19"/>
        <v>0</v>
      </c>
      <c r="H154" s="187">
        <f t="shared" si="20"/>
        <v>0</v>
      </c>
      <c r="I154" s="178"/>
      <c r="J154" s="48"/>
      <c r="K154" s="49"/>
      <c r="M154" s="772"/>
      <c r="N154" s="46">
        <v>141</v>
      </c>
      <c r="O154" s="47">
        <f t="shared" si="16"/>
        <v>-3.1641684472560882E-10</v>
      </c>
      <c r="P154" s="47">
        <f t="shared" si="14"/>
        <v>0</v>
      </c>
      <c r="Q154" s="47">
        <f t="shared" si="17"/>
        <v>-1.4062970876693726E-7</v>
      </c>
      <c r="R154" s="47">
        <f t="shared" si="15"/>
        <v>-3.1641684472560882E-10</v>
      </c>
      <c r="S154" s="47"/>
      <c r="T154" s="48"/>
      <c r="U154" s="49"/>
    </row>
    <row r="155" spans="4:21">
      <c r="D155" s="770"/>
      <c r="E155" s="180">
        <v>138</v>
      </c>
      <c r="F155" s="185">
        <f t="shared" si="18"/>
        <v>0</v>
      </c>
      <c r="G155" s="186">
        <f t="shared" si="19"/>
        <v>0</v>
      </c>
      <c r="H155" s="187">
        <f t="shared" si="20"/>
        <v>0</v>
      </c>
      <c r="I155" s="178"/>
      <c r="J155" s="48"/>
      <c r="K155" s="49"/>
      <c r="M155" s="772"/>
      <c r="N155" s="46">
        <v>142</v>
      </c>
      <c r="O155" s="47">
        <f t="shared" si="16"/>
        <v>-3.1641684472560882E-10</v>
      </c>
      <c r="P155" s="47">
        <f t="shared" si="14"/>
        <v>0</v>
      </c>
      <c r="Q155" s="47">
        <f t="shared" si="17"/>
        <v>-1.4062970876693726E-7</v>
      </c>
      <c r="R155" s="47">
        <f t="shared" si="15"/>
        <v>-3.1641684472560882E-10</v>
      </c>
      <c r="S155" s="47"/>
      <c r="T155" s="48"/>
      <c r="U155" s="49"/>
    </row>
    <row r="156" spans="4:21">
      <c r="D156" s="770"/>
      <c r="E156" s="180">
        <v>139</v>
      </c>
      <c r="F156" s="185">
        <f t="shared" si="18"/>
        <v>0</v>
      </c>
      <c r="G156" s="186">
        <f t="shared" si="19"/>
        <v>0</v>
      </c>
      <c r="H156" s="187">
        <f t="shared" si="20"/>
        <v>0</v>
      </c>
      <c r="I156" s="178"/>
      <c r="J156" s="48"/>
      <c r="K156" s="49"/>
      <c r="M156" s="772"/>
      <c r="N156" s="46">
        <v>143</v>
      </c>
      <c r="O156" s="47">
        <f t="shared" si="16"/>
        <v>-3.1641684472560882E-10</v>
      </c>
      <c r="P156" s="47">
        <f t="shared" si="14"/>
        <v>0</v>
      </c>
      <c r="Q156" s="47">
        <f t="shared" si="17"/>
        <v>-1.4062970876693726E-7</v>
      </c>
      <c r="R156" s="47">
        <f t="shared" si="15"/>
        <v>-3.1641684472560882E-10</v>
      </c>
      <c r="S156" s="47"/>
      <c r="T156" s="48"/>
      <c r="U156" s="49"/>
    </row>
    <row r="157" spans="4:21">
      <c r="D157" s="770"/>
      <c r="E157" s="180">
        <v>140</v>
      </c>
      <c r="F157" s="185">
        <f t="shared" si="18"/>
        <v>0</v>
      </c>
      <c r="G157" s="186">
        <f t="shared" si="19"/>
        <v>0</v>
      </c>
      <c r="H157" s="187">
        <f t="shared" si="20"/>
        <v>0</v>
      </c>
      <c r="I157" s="178"/>
      <c r="J157" s="48"/>
      <c r="K157" s="49"/>
      <c r="M157" s="772"/>
      <c r="N157" s="46">
        <v>144</v>
      </c>
      <c r="O157" s="47">
        <f t="shared" si="16"/>
        <v>-3.1641684472560882E-10</v>
      </c>
      <c r="P157" s="47">
        <f t="shared" si="14"/>
        <v>0</v>
      </c>
      <c r="Q157" s="47">
        <f t="shared" si="17"/>
        <v>-1.4062970876693726E-7</v>
      </c>
      <c r="R157" s="47">
        <f t="shared" si="15"/>
        <v>-3.1641684472560882E-10</v>
      </c>
      <c r="S157" s="47">
        <f>SUM(O146:O157)</f>
        <v>-3.7970021367073059E-9</v>
      </c>
      <c r="T157" s="47">
        <f>SUM(P146:P157)</f>
        <v>0</v>
      </c>
      <c r="U157" s="50">
        <f>S157+T157</f>
        <v>-3.7970021367073059E-9</v>
      </c>
    </row>
    <row r="158" spans="4:21">
      <c r="D158" s="770"/>
      <c r="E158" s="180">
        <v>141</v>
      </c>
      <c r="F158" s="185">
        <f t="shared" si="18"/>
        <v>0</v>
      </c>
      <c r="G158" s="186">
        <f t="shared" si="19"/>
        <v>0</v>
      </c>
      <c r="H158" s="187">
        <f t="shared" si="20"/>
        <v>0</v>
      </c>
      <c r="I158" s="178"/>
      <c r="J158" s="48"/>
      <c r="K158" s="49"/>
      <c r="M158" s="772">
        <v>13</v>
      </c>
      <c r="N158" s="46">
        <v>145</v>
      </c>
      <c r="O158" s="47">
        <f t="shared" si="16"/>
        <v>-3.1641684472560882E-10</v>
      </c>
      <c r="P158" s="47">
        <f t="shared" si="14"/>
        <v>0</v>
      </c>
      <c r="Q158" s="47">
        <f t="shared" si="17"/>
        <v>-1.4062970876693726E-7</v>
      </c>
      <c r="R158" s="47">
        <f t="shared" si="15"/>
        <v>-3.1641684472560882E-10</v>
      </c>
      <c r="S158" s="47"/>
      <c r="T158" s="48"/>
      <c r="U158" s="49"/>
    </row>
    <row r="159" spans="4:21">
      <c r="D159" s="770"/>
      <c r="E159" s="180">
        <v>142</v>
      </c>
      <c r="F159" s="185">
        <f t="shared" si="18"/>
        <v>0</v>
      </c>
      <c r="G159" s="186">
        <f t="shared" si="19"/>
        <v>0</v>
      </c>
      <c r="H159" s="187">
        <f t="shared" si="20"/>
        <v>0</v>
      </c>
      <c r="I159" s="178"/>
      <c r="J159" s="48"/>
      <c r="K159" s="49"/>
      <c r="M159" s="772"/>
      <c r="N159" s="46">
        <v>146</v>
      </c>
      <c r="O159" s="47">
        <f t="shared" si="16"/>
        <v>-3.1641684472560882E-10</v>
      </c>
      <c r="P159" s="47">
        <f t="shared" si="14"/>
        <v>0</v>
      </c>
      <c r="Q159" s="47">
        <f t="shared" si="17"/>
        <v>-1.4062970876693726E-7</v>
      </c>
      <c r="R159" s="47">
        <f t="shared" si="15"/>
        <v>-3.1641684472560882E-10</v>
      </c>
      <c r="S159" s="47"/>
      <c r="T159" s="48"/>
      <c r="U159" s="49"/>
    </row>
    <row r="160" spans="4:21">
      <c r="D160" s="770"/>
      <c r="E160" s="180">
        <v>143</v>
      </c>
      <c r="F160" s="185">
        <f t="shared" si="18"/>
        <v>0</v>
      </c>
      <c r="G160" s="186">
        <f t="shared" si="19"/>
        <v>0</v>
      </c>
      <c r="H160" s="187">
        <f t="shared" si="20"/>
        <v>0</v>
      </c>
      <c r="I160" s="178"/>
      <c r="J160" s="48"/>
      <c r="K160" s="49"/>
      <c r="M160" s="772"/>
      <c r="N160" s="46">
        <v>147</v>
      </c>
      <c r="O160" s="47">
        <f t="shared" si="16"/>
        <v>-3.1641684472560882E-10</v>
      </c>
      <c r="P160" s="47">
        <f t="shared" si="14"/>
        <v>0</v>
      </c>
      <c r="Q160" s="47">
        <f t="shared" si="17"/>
        <v>-1.4062970876693726E-7</v>
      </c>
      <c r="R160" s="47">
        <f t="shared" si="15"/>
        <v>-3.1641684472560882E-10</v>
      </c>
      <c r="S160" s="47"/>
      <c r="T160" s="48"/>
      <c r="U160" s="49"/>
    </row>
    <row r="161" spans="4:21" ht="13.5" thickBot="1">
      <c r="D161" s="771"/>
      <c r="E161" s="188">
        <v>144</v>
      </c>
      <c r="F161" s="189">
        <f t="shared" si="18"/>
        <v>0</v>
      </c>
      <c r="G161" s="190">
        <f t="shared" si="19"/>
        <v>0</v>
      </c>
      <c r="H161" s="191">
        <f t="shared" si="20"/>
        <v>0</v>
      </c>
      <c r="I161" s="192">
        <f>SUM(F150:F161)</f>
        <v>0</v>
      </c>
      <c r="J161" s="193">
        <f>SUM(G150:G161)</f>
        <v>0</v>
      </c>
      <c r="K161" s="194">
        <f>I161+J161</f>
        <v>0</v>
      </c>
      <c r="M161" s="772"/>
      <c r="N161" s="46">
        <v>148</v>
      </c>
      <c r="O161" s="47">
        <f t="shared" si="16"/>
        <v>-3.1641684472560882E-10</v>
      </c>
      <c r="P161" s="47">
        <f t="shared" si="14"/>
        <v>0</v>
      </c>
      <c r="Q161" s="47">
        <f t="shared" si="17"/>
        <v>-1.4062970876693726E-7</v>
      </c>
      <c r="R161" s="47">
        <f t="shared" si="15"/>
        <v>-3.1641684472560882E-10</v>
      </c>
      <c r="S161" s="47"/>
      <c r="T161" s="48"/>
      <c r="U161" s="49"/>
    </row>
    <row r="162" spans="4:21">
      <c r="D162" s="769">
        <v>13</v>
      </c>
      <c r="E162" s="195">
        <v>145</v>
      </c>
      <c r="F162" s="196">
        <f t="shared" si="18"/>
        <v>0</v>
      </c>
      <c r="G162" s="197">
        <f t="shared" si="19"/>
        <v>0</v>
      </c>
      <c r="H162" s="198">
        <f t="shared" si="20"/>
        <v>0</v>
      </c>
      <c r="I162" s="199"/>
      <c r="J162" s="200"/>
      <c r="K162" s="201"/>
      <c r="M162" s="772"/>
      <c r="N162" s="46">
        <v>149</v>
      </c>
      <c r="O162" s="47">
        <f t="shared" si="16"/>
        <v>-3.1641684472560882E-10</v>
      </c>
      <c r="P162" s="47">
        <f t="shared" si="14"/>
        <v>0</v>
      </c>
      <c r="Q162" s="47">
        <f t="shared" si="17"/>
        <v>-1.4062970876693726E-7</v>
      </c>
      <c r="R162" s="47">
        <f t="shared" si="15"/>
        <v>-3.1641684472560882E-10</v>
      </c>
      <c r="S162" s="47"/>
      <c r="T162" s="48"/>
      <c r="U162" s="49"/>
    </row>
    <row r="163" spans="4:21">
      <c r="D163" s="770"/>
      <c r="E163" s="180">
        <v>146</v>
      </c>
      <c r="F163" s="185">
        <f t="shared" si="18"/>
        <v>0</v>
      </c>
      <c r="G163" s="186">
        <f t="shared" si="19"/>
        <v>0</v>
      </c>
      <c r="H163" s="187">
        <f t="shared" si="20"/>
        <v>0</v>
      </c>
      <c r="I163" s="178"/>
      <c r="J163" s="48"/>
      <c r="K163" s="49"/>
      <c r="M163" s="772"/>
      <c r="N163" s="46">
        <v>150</v>
      </c>
      <c r="O163" s="47">
        <f t="shared" si="16"/>
        <v>-3.1641684472560882E-10</v>
      </c>
      <c r="P163" s="47">
        <f t="shared" si="14"/>
        <v>0</v>
      </c>
      <c r="Q163" s="47">
        <f t="shared" si="17"/>
        <v>-1.4062970876693726E-7</v>
      </c>
      <c r="R163" s="47">
        <f t="shared" si="15"/>
        <v>-3.1641684472560882E-10</v>
      </c>
      <c r="S163" s="47"/>
      <c r="T163" s="48"/>
      <c r="U163" s="49"/>
    </row>
    <row r="164" spans="4:21">
      <c r="D164" s="770"/>
      <c r="E164" s="180">
        <v>147</v>
      </c>
      <c r="F164" s="185">
        <f t="shared" si="18"/>
        <v>0</v>
      </c>
      <c r="G164" s="186">
        <f t="shared" si="19"/>
        <v>0</v>
      </c>
      <c r="H164" s="187">
        <f t="shared" si="20"/>
        <v>0</v>
      </c>
      <c r="I164" s="178"/>
      <c r="J164" s="48"/>
      <c r="K164" s="49"/>
      <c r="M164" s="772"/>
      <c r="N164" s="46">
        <v>151</v>
      </c>
      <c r="O164" s="47">
        <f t="shared" si="16"/>
        <v>-3.1641684472560882E-10</v>
      </c>
      <c r="P164" s="47">
        <f t="shared" si="14"/>
        <v>0</v>
      </c>
      <c r="Q164" s="47">
        <f t="shared" si="17"/>
        <v>-1.4062970876693726E-7</v>
      </c>
      <c r="R164" s="47">
        <f t="shared" si="15"/>
        <v>-3.1641684472560882E-10</v>
      </c>
      <c r="S164" s="47"/>
      <c r="T164" s="48"/>
      <c r="U164" s="49"/>
    </row>
    <row r="165" spans="4:21">
      <c r="D165" s="770"/>
      <c r="E165" s="180">
        <v>148</v>
      </c>
      <c r="F165" s="185">
        <f t="shared" si="18"/>
        <v>0</v>
      </c>
      <c r="G165" s="186">
        <f t="shared" si="19"/>
        <v>0</v>
      </c>
      <c r="H165" s="187">
        <f t="shared" si="20"/>
        <v>0</v>
      </c>
      <c r="I165" s="178"/>
      <c r="J165" s="48"/>
      <c r="K165" s="49"/>
      <c r="M165" s="772"/>
      <c r="N165" s="46">
        <v>152</v>
      </c>
      <c r="O165" s="47">
        <f t="shared" si="16"/>
        <v>-3.1641684472560882E-10</v>
      </c>
      <c r="P165" s="47">
        <f t="shared" si="14"/>
        <v>0</v>
      </c>
      <c r="Q165" s="47">
        <f t="shared" si="17"/>
        <v>-1.4062970876693726E-7</v>
      </c>
      <c r="R165" s="47">
        <f t="shared" si="15"/>
        <v>-3.1641684472560882E-10</v>
      </c>
      <c r="S165" s="47"/>
      <c r="T165" s="48"/>
      <c r="U165" s="49"/>
    </row>
    <row r="166" spans="4:21">
      <c r="D166" s="770"/>
      <c r="E166" s="180">
        <v>149</v>
      </c>
      <c r="F166" s="185">
        <f t="shared" si="18"/>
        <v>0</v>
      </c>
      <c r="G166" s="186">
        <f t="shared" si="19"/>
        <v>0</v>
      </c>
      <c r="H166" s="187">
        <f t="shared" si="20"/>
        <v>0</v>
      </c>
      <c r="I166" s="178"/>
      <c r="J166" s="48"/>
      <c r="K166" s="49"/>
      <c r="M166" s="772"/>
      <c r="N166" s="46">
        <v>153</v>
      </c>
      <c r="O166" s="47">
        <f t="shared" si="16"/>
        <v>-3.1641684472560882E-10</v>
      </c>
      <c r="P166" s="47">
        <f t="shared" si="14"/>
        <v>0</v>
      </c>
      <c r="Q166" s="47">
        <f t="shared" si="17"/>
        <v>-1.4062970876693726E-7</v>
      </c>
      <c r="R166" s="47">
        <f t="shared" si="15"/>
        <v>-3.1641684472560882E-10</v>
      </c>
      <c r="S166" s="47"/>
      <c r="T166" s="48"/>
      <c r="U166" s="49"/>
    </row>
    <row r="167" spans="4:21">
      <c r="D167" s="770"/>
      <c r="E167" s="180">
        <v>150</v>
      </c>
      <c r="F167" s="185">
        <f t="shared" si="18"/>
        <v>0</v>
      </c>
      <c r="G167" s="186">
        <f t="shared" si="19"/>
        <v>0</v>
      </c>
      <c r="H167" s="187">
        <f t="shared" si="20"/>
        <v>0</v>
      </c>
      <c r="I167" s="178"/>
      <c r="J167" s="48"/>
      <c r="K167" s="49"/>
      <c r="M167" s="772"/>
      <c r="N167" s="46">
        <v>154</v>
      </c>
      <c r="O167" s="47">
        <f t="shared" si="16"/>
        <v>-3.1641684472560882E-10</v>
      </c>
      <c r="P167" s="47">
        <f t="shared" si="14"/>
        <v>0</v>
      </c>
      <c r="Q167" s="47">
        <f t="shared" si="17"/>
        <v>-1.4062970876693726E-7</v>
      </c>
      <c r="R167" s="47">
        <f t="shared" si="15"/>
        <v>-3.1641684472560882E-10</v>
      </c>
      <c r="S167" s="47"/>
      <c r="T167" s="48"/>
      <c r="U167" s="49"/>
    </row>
    <row r="168" spans="4:21">
      <c r="D168" s="770"/>
      <c r="E168" s="180">
        <v>151</v>
      </c>
      <c r="F168" s="185">
        <f t="shared" si="18"/>
        <v>0</v>
      </c>
      <c r="G168" s="186">
        <f t="shared" si="19"/>
        <v>0</v>
      </c>
      <c r="H168" s="187">
        <f t="shared" si="20"/>
        <v>0</v>
      </c>
      <c r="I168" s="178"/>
      <c r="J168" s="48"/>
      <c r="K168" s="49"/>
      <c r="M168" s="772"/>
      <c r="N168" s="46">
        <v>155</v>
      </c>
      <c r="O168" s="47">
        <f t="shared" si="16"/>
        <v>-3.1641684472560882E-10</v>
      </c>
      <c r="P168" s="47">
        <f t="shared" si="14"/>
        <v>0</v>
      </c>
      <c r="Q168" s="47">
        <f t="shared" si="17"/>
        <v>-1.4062970876693726E-7</v>
      </c>
      <c r="R168" s="47">
        <f t="shared" si="15"/>
        <v>-3.1641684472560882E-10</v>
      </c>
      <c r="S168" s="47"/>
      <c r="T168" s="48"/>
      <c r="U168" s="49"/>
    </row>
    <row r="169" spans="4:21">
      <c r="D169" s="770"/>
      <c r="E169" s="180">
        <v>152</v>
      </c>
      <c r="F169" s="185">
        <f t="shared" si="18"/>
        <v>0</v>
      </c>
      <c r="G169" s="186">
        <f t="shared" si="19"/>
        <v>0</v>
      </c>
      <c r="H169" s="187">
        <f t="shared" si="20"/>
        <v>0</v>
      </c>
      <c r="I169" s="178"/>
      <c r="J169" s="48"/>
      <c r="K169" s="49"/>
      <c r="M169" s="772"/>
      <c r="N169" s="46">
        <v>156</v>
      </c>
      <c r="O169" s="47">
        <f t="shared" si="16"/>
        <v>-3.1641684472560882E-10</v>
      </c>
      <c r="P169" s="47">
        <f t="shared" si="14"/>
        <v>0</v>
      </c>
      <c r="Q169" s="47">
        <f t="shared" si="17"/>
        <v>-1.4062970876693726E-7</v>
      </c>
      <c r="R169" s="47">
        <f t="shared" si="15"/>
        <v>-3.1641684472560882E-10</v>
      </c>
      <c r="S169" s="47">
        <f>SUM(O158:O169)</f>
        <v>-3.7970021367073059E-9</v>
      </c>
      <c r="T169" s="47">
        <f>SUM(P158:P169)</f>
        <v>0</v>
      </c>
      <c r="U169" s="50">
        <f>S169+T169</f>
        <v>-3.7970021367073059E-9</v>
      </c>
    </row>
    <row r="170" spans="4:21">
      <c r="D170" s="770"/>
      <c r="E170" s="180">
        <v>153</v>
      </c>
      <c r="F170" s="185">
        <f t="shared" si="18"/>
        <v>0</v>
      </c>
      <c r="G170" s="186">
        <f t="shared" si="19"/>
        <v>0</v>
      </c>
      <c r="H170" s="187">
        <f t="shared" si="20"/>
        <v>0</v>
      </c>
      <c r="I170" s="178"/>
      <c r="J170" s="48"/>
      <c r="K170" s="49"/>
      <c r="M170" s="772">
        <v>14</v>
      </c>
      <c r="N170" s="46">
        <v>157</v>
      </c>
      <c r="O170" s="47">
        <f t="shared" si="16"/>
        <v>-3.1641684472560882E-10</v>
      </c>
      <c r="P170" s="47">
        <f t="shared" si="14"/>
        <v>0</v>
      </c>
      <c r="Q170" s="47">
        <f t="shared" si="17"/>
        <v>-1.4062970876693726E-7</v>
      </c>
      <c r="R170" s="47">
        <f t="shared" si="15"/>
        <v>-3.1641684472560882E-10</v>
      </c>
      <c r="S170" s="47"/>
      <c r="T170" s="48"/>
      <c r="U170" s="49"/>
    </row>
    <row r="171" spans="4:21">
      <c r="D171" s="770"/>
      <c r="E171" s="180">
        <v>154</v>
      </c>
      <c r="F171" s="185">
        <f t="shared" si="18"/>
        <v>0</v>
      </c>
      <c r="G171" s="186">
        <f t="shared" si="19"/>
        <v>0</v>
      </c>
      <c r="H171" s="187">
        <f t="shared" si="20"/>
        <v>0</v>
      </c>
      <c r="I171" s="178"/>
      <c r="J171" s="48"/>
      <c r="K171" s="49"/>
      <c r="M171" s="772"/>
      <c r="N171" s="46">
        <v>158</v>
      </c>
      <c r="O171" s="47">
        <f t="shared" si="16"/>
        <v>-3.1641684472560882E-10</v>
      </c>
      <c r="P171" s="47">
        <f t="shared" si="14"/>
        <v>0</v>
      </c>
      <c r="Q171" s="47">
        <f t="shared" si="17"/>
        <v>-1.4062970876693726E-7</v>
      </c>
      <c r="R171" s="47">
        <f t="shared" si="15"/>
        <v>-3.1641684472560882E-10</v>
      </c>
      <c r="S171" s="47"/>
      <c r="T171" s="48"/>
      <c r="U171" s="49"/>
    </row>
    <row r="172" spans="4:21">
      <c r="D172" s="770"/>
      <c r="E172" s="180">
        <v>155</v>
      </c>
      <c r="F172" s="185">
        <f t="shared" si="18"/>
        <v>0</v>
      </c>
      <c r="G172" s="186">
        <f t="shared" si="19"/>
        <v>0</v>
      </c>
      <c r="H172" s="187">
        <f t="shared" si="20"/>
        <v>0</v>
      </c>
      <c r="I172" s="178"/>
      <c r="J172" s="48"/>
      <c r="K172" s="49"/>
      <c r="M172" s="772"/>
      <c r="N172" s="46">
        <v>159</v>
      </c>
      <c r="O172" s="47">
        <f t="shared" si="16"/>
        <v>-3.1641684472560882E-10</v>
      </c>
      <c r="P172" s="47">
        <f t="shared" si="14"/>
        <v>0</v>
      </c>
      <c r="Q172" s="47">
        <f t="shared" si="17"/>
        <v>-1.4062970876693726E-7</v>
      </c>
      <c r="R172" s="47">
        <f t="shared" si="15"/>
        <v>-3.1641684472560882E-10</v>
      </c>
      <c r="S172" s="47"/>
      <c r="T172" s="48"/>
      <c r="U172" s="49"/>
    </row>
    <row r="173" spans="4:21" ht="13.5" thickBot="1">
      <c r="D173" s="771"/>
      <c r="E173" s="188">
        <v>156</v>
      </c>
      <c r="F173" s="189">
        <f t="shared" si="18"/>
        <v>0</v>
      </c>
      <c r="G173" s="190">
        <f t="shared" si="19"/>
        <v>0</v>
      </c>
      <c r="H173" s="191">
        <f t="shared" si="20"/>
        <v>0</v>
      </c>
      <c r="I173" s="192">
        <f>SUM(F162:F173)</f>
        <v>0</v>
      </c>
      <c r="J173" s="193">
        <f>SUM(G162:G173)</f>
        <v>0</v>
      </c>
      <c r="K173" s="194">
        <f>I173+J173</f>
        <v>0</v>
      </c>
      <c r="M173" s="772"/>
      <c r="N173" s="46">
        <v>160</v>
      </c>
      <c r="O173" s="47">
        <f t="shared" si="16"/>
        <v>-3.1641684472560882E-10</v>
      </c>
      <c r="P173" s="47">
        <f t="shared" si="14"/>
        <v>0</v>
      </c>
      <c r="Q173" s="47">
        <f t="shared" si="17"/>
        <v>-1.4062970876693726E-7</v>
      </c>
      <c r="R173" s="47">
        <f t="shared" si="15"/>
        <v>-3.1641684472560882E-10</v>
      </c>
      <c r="S173" s="47"/>
      <c r="T173" s="48"/>
      <c r="U173" s="49"/>
    </row>
    <row r="174" spans="4:21">
      <c r="D174" s="769">
        <v>14</v>
      </c>
      <c r="E174" s="195">
        <v>157</v>
      </c>
      <c r="F174" s="196">
        <f t="shared" si="18"/>
        <v>0</v>
      </c>
      <c r="G174" s="197">
        <f t="shared" si="19"/>
        <v>0</v>
      </c>
      <c r="H174" s="198">
        <f t="shared" si="20"/>
        <v>0</v>
      </c>
      <c r="I174" s="199"/>
      <c r="J174" s="200"/>
      <c r="K174" s="201"/>
      <c r="M174" s="772"/>
      <c r="N174" s="46">
        <v>161</v>
      </c>
      <c r="O174" s="47">
        <f t="shared" si="16"/>
        <v>-3.1641684472560882E-10</v>
      </c>
      <c r="P174" s="47">
        <f t="shared" si="14"/>
        <v>0</v>
      </c>
      <c r="Q174" s="47">
        <f t="shared" si="17"/>
        <v>-1.4062970876693726E-7</v>
      </c>
      <c r="R174" s="47">
        <f t="shared" si="15"/>
        <v>-3.1641684472560882E-10</v>
      </c>
      <c r="S174" s="47"/>
      <c r="T174" s="48"/>
      <c r="U174" s="49"/>
    </row>
    <row r="175" spans="4:21">
      <c r="D175" s="770"/>
      <c r="E175" s="180">
        <v>158</v>
      </c>
      <c r="F175" s="185">
        <f t="shared" si="18"/>
        <v>0</v>
      </c>
      <c r="G175" s="186">
        <f t="shared" si="19"/>
        <v>0</v>
      </c>
      <c r="H175" s="187">
        <f t="shared" si="20"/>
        <v>0</v>
      </c>
      <c r="I175" s="178"/>
      <c r="J175" s="48"/>
      <c r="K175" s="49"/>
      <c r="M175" s="772"/>
      <c r="N175" s="46">
        <v>162</v>
      </c>
      <c r="O175" s="47">
        <f t="shared" si="16"/>
        <v>-3.1641684472560882E-10</v>
      </c>
      <c r="P175" s="47">
        <f t="shared" si="14"/>
        <v>0</v>
      </c>
      <c r="Q175" s="47">
        <f t="shared" si="17"/>
        <v>-1.4062970876693726E-7</v>
      </c>
      <c r="R175" s="47">
        <f t="shared" si="15"/>
        <v>-3.1641684472560882E-10</v>
      </c>
      <c r="S175" s="47"/>
      <c r="T175" s="48"/>
      <c r="U175" s="49"/>
    </row>
    <row r="176" spans="4:21">
      <c r="D176" s="770"/>
      <c r="E176" s="180">
        <v>159</v>
      </c>
      <c r="F176" s="185">
        <f t="shared" si="18"/>
        <v>0</v>
      </c>
      <c r="G176" s="186">
        <f t="shared" si="19"/>
        <v>0</v>
      </c>
      <c r="H176" s="187">
        <f t="shared" si="20"/>
        <v>0</v>
      </c>
      <c r="I176" s="178"/>
      <c r="J176" s="48"/>
      <c r="K176" s="49"/>
      <c r="M176" s="772"/>
      <c r="N176" s="46">
        <v>163</v>
      </c>
      <c r="O176" s="47">
        <f t="shared" si="16"/>
        <v>-3.1641684472560882E-10</v>
      </c>
      <c r="P176" s="47">
        <f t="shared" si="14"/>
        <v>0</v>
      </c>
      <c r="Q176" s="47">
        <f t="shared" si="17"/>
        <v>-1.4062970876693726E-7</v>
      </c>
      <c r="R176" s="47">
        <f t="shared" si="15"/>
        <v>-3.1641684472560882E-10</v>
      </c>
      <c r="S176" s="47"/>
      <c r="T176" s="48"/>
      <c r="U176" s="49"/>
    </row>
    <row r="177" spans="4:21">
      <c r="D177" s="770"/>
      <c r="E177" s="180">
        <v>160</v>
      </c>
      <c r="F177" s="185">
        <f t="shared" si="18"/>
        <v>0</v>
      </c>
      <c r="G177" s="186">
        <f t="shared" si="19"/>
        <v>0</v>
      </c>
      <c r="H177" s="187">
        <f t="shared" si="20"/>
        <v>0</v>
      </c>
      <c r="I177" s="178"/>
      <c r="J177" s="48"/>
      <c r="K177" s="49"/>
      <c r="M177" s="772"/>
      <c r="N177" s="46">
        <v>164</v>
      </c>
      <c r="O177" s="47">
        <f t="shared" si="16"/>
        <v>-3.1641684472560882E-10</v>
      </c>
      <c r="P177" s="47">
        <f t="shared" si="14"/>
        <v>0</v>
      </c>
      <c r="Q177" s="47">
        <f t="shared" si="17"/>
        <v>-1.4062970876693726E-7</v>
      </c>
      <c r="R177" s="47">
        <f t="shared" si="15"/>
        <v>-3.1641684472560882E-10</v>
      </c>
      <c r="S177" s="47"/>
      <c r="T177" s="48"/>
      <c r="U177" s="49"/>
    </row>
    <row r="178" spans="4:21">
      <c r="D178" s="770"/>
      <c r="E178" s="180">
        <v>161</v>
      </c>
      <c r="F178" s="185">
        <f t="shared" si="18"/>
        <v>0</v>
      </c>
      <c r="G178" s="186">
        <f t="shared" si="19"/>
        <v>0</v>
      </c>
      <c r="H178" s="187">
        <f t="shared" si="20"/>
        <v>0</v>
      </c>
      <c r="I178" s="178"/>
      <c r="J178" s="48"/>
      <c r="K178" s="49"/>
      <c r="M178" s="772"/>
      <c r="N178" s="46">
        <v>165</v>
      </c>
      <c r="O178" s="47">
        <f t="shared" si="16"/>
        <v>-3.1641684472560882E-10</v>
      </c>
      <c r="P178" s="47">
        <f t="shared" si="14"/>
        <v>0</v>
      </c>
      <c r="Q178" s="47">
        <f t="shared" si="17"/>
        <v>-1.4062970876693726E-7</v>
      </c>
      <c r="R178" s="47">
        <f t="shared" si="15"/>
        <v>-3.1641684472560882E-10</v>
      </c>
      <c r="S178" s="47"/>
      <c r="T178" s="48"/>
      <c r="U178" s="49"/>
    </row>
    <row r="179" spans="4:21">
      <c r="D179" s="770"/>
      <c r="E179" s="180">
        <v>162</v>
      </c>
      <c r="F179" s="185">
        <f t="shared" si="18"/>
        <v>0</v>
      </c>
      <c r="G179" s="186">
        <f t="shared" si="19"/>
        <v>0</v>
      </c>
      <c r="H179" s="187">
        <f t="shared" si="20"/>
        <v>0</v>
      </c>
      <c r="I179" s="178"/>
      <c r="J179" s="48"/>
      <c r="K179" s="49"/>
      <c r="M179" s="772"/>
      <c r="N179" s="46">
        <v>166</v>
      </c>
      <c r="O179" s="47">
        <f t="shared" si="16"/>
        <v>-3.1641684472560882E-10</v>
      </c>
      <c r="P179" s="47">
        <f t="shared" si="14"/>
        <v>0</v>
      </c>
      <c r="Q179" s="47">
        <f t="shared" si="17"/>
        <v>-1.4062970876693726E-7</v>
      </c>
      <c r="R179" s="47">
        <f t="shared" si="15"/>
        <v>-3.1641684472560882E-10</v>
      </c>
      <c r="S179" s="47"/>
      <c r="T179" s="48"/>
      <c r="U179" s="49"/>
    </row>
    <row r="180" spans="4:21">
      <c r="D180" s="770"/>
      <c r="E180" s="180">
        <v>163</v>
      </c>
      <c r="F180" s="185">
        <f t="shared" si="18"/>
        <v>0</v>
      </c>
      <c r="G180" s="186">
        <f t="shared" si="19"/>
        <v>0</v>
      </c>
      <c r="H180" s="187">
        <f t="shared" si="20"/>
        <v>0</v>
      </c>
      <c r="I180" s="178"/>
      <c r="J180" s="48"/>
      <c r="K180" s="49"/>
      <c r="M180" s="772"/>
      <c r="N180" s="46">
        <v>167</v>
      </c>
      <c r="O180" s="47">
        <f t="shared" si="16"/>
        <v>-3.1641684472560882E-10</v>
      </c>
      <c r="P180" s="47">
        <f t="shared" si="14"/>
        <v>0</v>
      </c>
      <c r="Q180" s="47">
        <f t="shared" si="17"/>
        <v>-1.4062970876693726E-7</v>
      </c>
      <c r="R180" s="47">
        <f t="shared" si="15"/>
        <v>-3.1641684472560882E-10</v>
      </c>
      <c r="S180" s="47"/>
      <c r="T180" s="48"/>
      <c r="U180" s="49"/>
    </row>
    <row r="181" spans="4:21">
      <c r="D181" s="770"/>
      <c r="E181" s="180">
        <v>164</v>
      </c>
      <c r="F181" s="185">
        <f t="shared" si="18"/>
        <v>0</v>
      </c>
      <c r="G181" s="186">
        <f t="shared" si="19"/>
        <v>0</v>
      </c>
      <c r="H181" s="187">
        <f t="shared" si="20"/>
        <v>0</v>
      </c>
      <c r="I181" s="178"/>
      <c r="J181" s="48"/>
      <c r="K181" s="49"/>
      <c r="M181" s="772"/>
      <c r="N181" s="46">
        <v>168</v>
      </c>
      <c r="O181" s="47">
        <f t="shared" si="16"/>
        <v>-3.1641684472560882E-10</v>
      </c>
      <c r="P181" s="47">
        <f t="shared" si="14"/>
        <v>0</v>
      </c>
      <c r="Q181" s="47">
        <f t="shared" si="17"/>
        <v>-1.4062970876693726E-7</v>
      </c>
      <c r="R181" s="47">
        <f t="shared" si="15"/>
        <v>-3.1641684472560882E-10</v>
      </c>
      <c r="S181" s="47">
        <f>SUM(O170:O181)</f>
        <v>-3.7970021367073059E-9</v>
      </c>
      <c r="T181" s="47">
        <f>SUM(P170:P181)</f>
        <v>0</v>
      </c>
      <c r="U181" s="50">
        <f>S181+T181</f>
        <v>-3.7970021367073059E-9</v>
      </c>
    </row>
    <row r="182" spans="4:21">
      <c r="D182" s="770"/>
      <c r="E182" s="180">
        <v>165</v>
      </c>
      <c r="F182" s="185">
        <f t="shared" si="18"/>
        <v>0</v>
      </c>
      <c r="G182" s="186">
        <f t="shared" si="19"/>
        <v>0</v>
      </c>
      <c r="H182" s="187">
        <f t="shared" si="20"/>
        <v>0</v>
      </c>
      <c r="I182" s="178"/>
      <c r="J182" s="48"/>
      <c r="K182" s="49"/>
      <c r="M182" s="772">
        <v>15</v>
      </c>
      <c r="N182" s="46">
        <v>169</v>
      </c>
      <c r="O182" s="47">
        <f t="shared" si="16"/>
        <v>-3.1641684472560882E-10</v>
      </c>
      <c r="P182" s="47">
        <f t="shared" si="14"/>
        <v>0</v>
      </c>
      <c r="Q182" s="47">
        <f t="shared" si="17"/>
        <v>-1.4062970876693726E-7</v>
      </c>
      <c r="R182" s="47">
        <f t="shared" si="15"/>
        <v>-3.1641684472560882E-10</v>
      </c>
      <c r="S182" s="47"/>
      <c r="T182" s="48"/>
      <c r="U182" s="49"/>
    </row>
    <row r="183" spans="4:21">
      <c r="D183" s="770"/>
      <c r="E183" s="180">
        <v>166</v>
      </c>
      <c r="F183" s="185">
        <f t="shared" si="18"/>
        <v>0</v>
      </c>
      <c r="G183" s="186">
        <f t="shared" si="19"/>
        <v>0</v>
      </c>
      <c r="H183" s="187">
        <f t="shared" si="20"/>
        <v>0</v>
      </c>
      <c r="I183" s="178"/>
      <c r="J183" s="48"/>
      <c r="K183" s="49"/>
      <c r="M183" s="772"/>
      <c r="N183" s="46">
        <v>170</v>
      </c>
      <c r="O183" s="47">
        <f t="shared" si="16"/>
        <v>-3.1641684472560882E-10</v>
      </c>
      <c r="P183" s="47">
        <f t="shared" si="14"/>
        <v>0</v>
      </c>
      <c r="Q183" s="47">
        <f t="shared" si="17"/>
        <v>-1.4062970876693726E-7</v>
      </c>
      <c r="R183" s="47">
        <f t="shared" si="15"/>
        <v>-3.1641684472560882E-10</v>
      </c>
      <c r="S183" s="47"/>
      <c r="T183" s="48"/>
      <c r="U183" s="49"/>
    </row>
    <row r="184" spans="4:21">
      <c r="D184" s="770"/>
      <c r="E184" s="180">
        <v>167</v>
      </c>
      <c r="F184" s="185">
        <f t="shared" si="18"/>
        <v>0</v>
      </c>
      <c r="G184" s="186">
        <f t="shared" si="19"/>
        <v>0</v>
      </c>
      <c r="H184" s="187">
        <f t="shared" si="20"/>
        <v>0</v>
      </c>
      <c r="I184" s="178"/>
      <c r="J184" s="48"/>
      <c r="K184" s="49"/>
      <c r="M184" s="772"/>
      <c r="N184" s="46">
        <v>171</v>
      </c>
      <c r="O184" s="47">
        <f t="shared" si="16"/>
        <v>-3.1641684472560882E-10</v>
      </c>
      <c r="P184" s="47">
        <f t="shared" si="14"/>
        <v>0</v>
      </c>
      <c r="Q184" s="47">
        <f t="shared" si="17"/>
        <v>-1.4062970876693726E-7</v>
      </c>
      <c r="R184" s="47">
        <f t="shared" si="15"/>
        <v>-3.1641684472560882E-10</v>
      </c>
      <c r="S184" s="47"/>
      <c r="T184" s="48"/>
      <c r="U184" s="49"/>
    </row>
    <row r="185" spans="4:21" ht="13.5" thickBot="1">
      <c r="D185" s="771"/>
      <c r="E185" s="188">
        <v>168</v>
      </c>
      <c r="F185" s="189">
        <f t="shared" si="18"/>
        <v>0</v>
      </c>
      <c r="G185" s="190">
        <f t="shared" si="19"/>
        <v>0</v>
      </c>
      <c r="H185" s="191">
        <f t="shared" si="20"/>
        <v>0</v>
      </c>
      <c r="I185" s="192">
        <f>SUM(F174:F185)</f>
        <v>0</v>
      </c>
      <c r="J185" s="193">
        <f>SUM(G174:G185)</f>
        <v>0</v>
      </c>
      <c r="K185" s="194">
        <f>I185+J185</f>
        <v>0</v>
      </c>
      <c r="M185" s="772"/>
      <c r="N185" s="46">
        <v>172</v>
      </c>
      <c r="O185" s="47">
        <f t="shared" si="16"/>
        <v>-3.1641684472560882E-10</v>
      </c>
      <c r="P185" s="47">
        <f t="shared" si="14"/>
        <v>0</v>
      </c>
      <c r="Q185" s="47">
        <f t="shared" si="17"/>
        <v>-1.4062970876693726E-7</v>
      </c>
      <c r="R185" s="47">
        <f t="shared" si="15"/>
        <v>-3.1641684472560882E-10</v>
      </c>
      <c r="S185" s="47"/>
      <c r="T185" s="48"/>
      <c r="U185" s="49"/>
    </row>
    <row r="186" spans="4:21">
      <c r="D186" s="769">
        <v>15</v>
      </c>
      <c r="E186" s="195">
        <v>169</v>
      </c>
      <c r="F186" s="196">
        <f t="shared" si="18"/>
        <v>0</v>
      </c>
      <c r="G186" s="197">
        <f t="shared" si="19"/>
        <v>0</v>
      </c>
      <c r="H186" s="198">
        <f t="shared" si="20"/>
        <v>0</v>
      </c>
      <c r="I186" s="199"/>
      <c r="J186" s="200"/>
      <c r="K186" s="201"/>
      <c r="M186" s="772"/>
      <c r="N186" s="46">
        <v>173</v>
      </c>
      <c r="O186" s="47">
        <f t="shared" si="16"/>
        <v>-3.1641684472560882E-10</v>
      </c>
      <c r="P186" s="47">
        <f t="shared" si="14"/>
        <v>0</v>
      </c>
      <c r="Q186" s="47">
        <f t="shared" si="17"/>
        <v>-1.4062970876693726E-7</v>
      </c>
      <c r="R186" s="47">
        <f t="shared" si="15"/>
        <v>-3.1641684472560882E-10</v>
      </c>
      <c r="S186" s="47"/>
      <c r="T186" s="48"/>
      <c r="U186" s="49"/>
    </row>
    <row r="187" spans="4:21">
      <c r="D187" s="770"/>
      <c r="E187" s="180">
        <v>170</v>
      </c>
      <c r="F187" s="185">
        <f t="shared" si="18"/>
        <v>0</v>
      </c>
      <c r="G187" s="186">
        <f t="shared" si="19"/>
        <v>0</v>
      </c>
      <c r="H187" s="187">
        <f t="shared" si="20"/>
        <v>0</v>
      </c>
      <c r="I187" s="178"/>
      <c r="J187" s="48"/>
      <c r="K187" s="49"/>
      <c r="M187" s="772"/>
      <c r="N187" s="46">
        <v>174</v>
      </c>
      <c r="O187" s="47">
        <f t="shared" si="16"/>
        <v>-3.1641684472560882E-10</v>
      </c>
      <c r="P187" s="47">
        <f t="shared" si="14"/>
        <v>0</v>
      </c>
      <c r="Q187" s="47">
        <f t="shared" si="17"/>
        <v>-1.4062970876693726E-7</v>
      </c>
      <c r="R187" s="47">
        <f t="shared" si="15"/>
        <v>-3.1641684472560882E-10</v>
      </c>
      <c r="S187" s="47"/>
      <c r="T187" s="48"/>
      <c r="U187" s="49"/>
    </row>
    <row r="188" spans="4:21">
      <c r="D188" s="770"/>
      <c r="E188" s="180">
        <v>171</v>
      </c>
      <c r="F188" s="185">
        <f t="shared" si="18"/>
        <v>0</v>
      </c>
      <c r="G188" s="186">
        <f t="shared" si="19"/>
        <v>0</v>
      </c>
      <c r="H188" s="187">
        <f t="shared" si="20"/>
        <v>0</v>
      </c>
      <c r="I188" s="178"/>
      <c r="J188" s="48"/>
      <c r="K188" s="49"/>
      <c r="M188" s="772"/>
      <c r="N188" s="46">
        <v>175</v>
      </c>
      <c r="O188" s="47">
        <f t="shared" si="16"/>
        <v>-3.1641684472560882E-10</v>
      </c>
      <c r="P188" s="47">
        <f t="shared" si="14"/>
        <v>0</v>
      </c>
      <c r="Q188" s="47">
        <f t="shared" si="17"/>
        <v>-1.4062970876693726E-7</v>
      </c>
      <c r="R188" s="47">
        <f t="shared" si="15"/>
        <v>-3.1641684472560882E-10</v>
      </c>
      <c r="S188" s="47"/>
      <c r="T188" s="48"/>
      <c r="U188" s="49"/>
    </row>
    <row r="189" spans="4:21">
      <c r="D189" s="770"/>
      <c r="E189" s="180">
        <v>172</v>
      </c>
      <c r="F189" s="185">
        <f t="shared" si="18"/>
        <v>0</v>
      </c>
      <c r="G189" s="186">
        <f t="shared" si="19"/>
        <v>0</v>
      </c>
      <c r="H189" s="187">
        <f t="shared" si="20"/>
        <v>0</v>
      </c>
      <c r="I189" s="178"/>
      <c r="J189" s="48"/>
      <c r="K189" s="49"/>
      <c r="M189" s="772"/>
      <c r="N189" s="46">
        <v>176</v>
      </c>
      <c r="O189" s="47">
        <f t="shared" si="16"/>
        <v>-3.1641684472560882E-10</v>
      </c>
      <c r="P189" s="47">
        <f t="shared" si="14"/>
        <v>0</v>
      </c>
      <c r="Q189" s="47">
        <f t="shared" si="17"/>
        <v>-1.4062970876693726E-7</v>
      </c>
      <c r="R189" s="47">
        <f t="shared" si="15"/>
        <v>-3.1641684472560882E-10</v>
      </c>
      <c r="S189" s="47"/>
      <c r="T189" s="48"/>
      <c r="U189" s="49"/>
    </row>
    <row r="190" spans="4:21">
      <c r="D190" s="770"/>
      <c r="E190" s="180">
        <v>173</v>
      </c>
      <c r="F190" s="185">
        <f t="shared" si="18"/>
        <v>0</v>
      </c>
      <c r="G190" s="186">
        <f t="shared" si="19"/>
        <v>0</v>
      </c>
      <c r="H190" s="187">
        <f t="shared" si="20"/>
        <v>0</v>
      </c>
      <c r="I190" s="178"/>
      <c r="J190" s="48"/>
      <c r="K190" s="49"/>
      <c r="M190" s="772"/>
      <c r="N190" s="46">
        <v>177</v>
      </c>
      <c r="O190" s="47">
        <f t="shared" si="16"/>
        <v>-3.1641684472560882E-10</v>
      </c>
      <c r="P190" s="47">
        <f t="shared" si="14"/>
        <v>0</v>
      </c>
      <c r="Q190" s="47">
        <f t="shared" si="17"/>
        <v>-1.4062970876693726E-7</v>
      </c>
      <c r="R190" s="47">
        <f t="shared" si="15"/>
        <v>-3.1641684472560882E-10</v>
      </c>
      <c r="S190" s="47"/>
      <c r="T190" s="48"/>
      <c r="U190" s="49"/>
    </row>
    <row r="191" spans="4:21">
      <c r="D191" s="770"/>
      <c r="E191" s="180">
        <v>174</v>
      </c>
      <c r="F191" s="185">
        <f t="shared" si="18"/>
        <v>0</v>
      </c>
      <c r="G191" s="186">
        <f t="shared" si="19"/>
        <v>0</v>
      </c>
      <c r="H191" s="187">
        <f t="shared" si="20"/>
        <v>0</v>
      </c>
      <c r="I191" s="178"/>
      <c r="J191" s="48"/>
      <c r="K191" s="49"/>
      <c r="M191" s="772"/>
      <c r="N191" s="46">
        <v>178</v>
      </c>
      <c r="O191" s="47">
        <f t="shared" si="16"/>
        <v>-3.1641684472560882E-10</v>
      </c>
      <c r="P191" s="47">
        <f t="shared" si="14"/>
        <v>0</v>
      </c>
      <c r="Q191" s="47">
        <f t="shared" si="17"/>
        <v>-1.4062970876693726E-7</v>
      </c>
      <c r="R191" s="47">
        <f t="shared" si="15"/>
        <v>-3.1641684472560882E-10</v>
      </c>
      <c r="S191" s="47"/>
      <c r="T191" s="48"/>
      <c r="U191" s="49"/>
    </row>
    <row r="192" spans="4:21">
      <c r="D192" s="770"/>
      <c r="E192" s="180">
        <v>175</v>
      </c>
      <c r="F192" s="185">
        <f t="shared" si="18"/>
        <v>0</v>
      </c>
      <c r="G192" s="186">
        <f t="shared" si="19"/>
        <v>0</v>
      </c>
      <c r="H192" s="187">
        <f t="shared" si="20"/>
        <v>0</v>
      </c>
      <c r="I192" s="178"/>
      <c r="J192" s="48"/>
      <c r="K192" s="49"/>
      <c r="M192" s="772"/>
      <c r="N192" s="46">
        <v>179</v>
      </c>
      <c r="O192" s="47">
        <f t="shared" si="16"/>
        <v>-3.1641684472560882E-10</v>
      </c>
      <c r="P192" s="47">
        <f t="shared" si="14"/>
        <v>0</v>
      </c>
      <c r="Q192" s="47">
        <f t="shared" si="17"/>
        <v>-1.4062970876693726E-7</v>
      </c>
      <c r="R192" s="47">
        <f t="shared" si="15"/>
        <v>-3.1641684472560882E-10</v>
      </c>
      <c r="S192" s="47"/>
      <c r="T192" s="48"/>
      <c r="U192" s="49"/>
    </row>
    <row r="193" spans="4:21">
      <c r="D193" s="770"/>
      <c r="E193" s="180">
        <v>176</v>
      </c>
      <c r="F193" s="185">
        <f t="shared" si="18"/>
        <v>0</v>
      </c>
      <c r="G193" s="186">
        <f t="shared" si="19"/>
        <v>0</v>
      </c>
      <c r="H193" s="187">
        <f t="shared" si="20"/>
        <v>0</v>
      </c>
      <c r="I193" s="178"/>
      <c r="J193" s="48"/>
      <c r="K193" s="49"/>
      <c r="M193" s="772"/>
      <c r="N193" s="46">
        <v>180</v>
      </c>
      <c r="O193" s="47">
        <f t="shared" si="16"/>
        <v>-3.1641684472560882E-10</v>
      </c>
      <c r="P193" s="47">
        <f t="shared" si="14"/>
        <v>0</v>
      </c>
      <c r="Q193" s="47">
        <f t="shared" si="17"/>
        <v>-1.4062970876693726E-7</v>
      </c>
      <c r="R193" s="47">
        <f t="shared" si="15"/>
        <v>-3.1641684472560882E-10</v>
      </c>
      <c r="S193" s="47">
        <f>SUM(O182:O193)</f>
        <v>-3.7970021367073059E-9</v>
      </c>
      <c r="T193" s="47">
        <f>SUM(P182:P193)</f>
        <v>0</v>
      </c>
      <c r="U193" s="50">
        <f>S193+T193</f>
        <v>-3.7970021367073059E-9</v>
      </c>
    </row>
    <row r="194" spans="4:21" ht="13.5" thickBot="1">
      <c r="D194" s="770"/>
      <c r="E194" s="180">
        <v>177</v>
      </c>
      <c r="F194" s="185">
        <f t="shared" si="18"/>
        <v>0</v>
      </c>
      <c r="G194" s="186">
        <f t="shared" si="19"/>
        <v>0</v>
      </c>
      <c r="H194" s="187">
        <f t="shared" si="20"/>
        <v>0</v>
      </c>
      <c r="I194" s="178"/>
      <c r="J194" s="48"/>
      <c r="K194" s="49"/>
      <c r="M194" s="51"/>
      <c r="N194" s="52"/>
      <c r="O194" s="52"/>
      <c r="P194" s="52"/>
      <c r="Q194" s="52"/>
      <c r="R194" s="52"/>
      <c r="S194" s="53">
        <f>SUM(S14:S193)</f>
        <v>24851226.367574938</v>
      </c>
      <c r="T194" s="53">
        <f>SUM(T14:T193)</f>
        <v>227731742.20000002</v>
      </c>
      <c r="U194" s="54">
        <f>SUM(U14:U193)</f>
        <v>252582968.56757498</v>
      </c>
    </row>
    <row r="195" spans="4:21" ht="13.5" thickTop="1">
      <c r="D195" s="770"/>
      <c r="E195" s="180">
        <v>178</v>
      </c>
      <c r="F195" s="185">
        <f t="shared" si="18"/>
        <v>0</v>
      </c>
      <c r="G195" s="186">
        <f t="shared" si="19"/>
        <v>0</v>
      </c>
      <c r="H195" s="187">
        <f t="shared" si="20"/>
        <v>0</v>
      </c>
      <c r="I195" s="178"/>
      <c r="J195" s="48"/>
      <c r="K195" s="49"/>
    </row>
    <row r="196" spans="4:21">
      <c r="D196" s="770"/>
      <c r="E196" s="180">
        <v>179</v>
      </c>
      <c r="F196" s="185">
        <f t="shared" si="18"/>
        <v>0</v>
      </c>
      <c r="G196" s="186">
        <f t="shared" si="19"/>
        <v>0</v>
      </c>
      <c r="H196" s="187">
        <f t="shared" si="20"/>
        <v>0</v>
      </c>
      <c r="I196" s="178"/>
      <c r="J196" s="48"/>
      <c r="K196" s="49"/>
    </row>
    <row r="197" spans="4:21" ht="13.5" thickBot="1">
      <c r="D197" s="773"/>
      <c r="E197" s="210">
        <v>180</v>
      </c>
      <c r="F197" s="211">
        <f t="shared" si="18"/>
        <v>0</v>
      </c>
      <c r="G197" s="212">
        <f t="shared" si="19"/>
        <v>0</v>
      </c>
      <c r="H197" s="213">
        <f t="shared" si="20"/>
        <v>0</v>
      </c>
      <c r="I197" s="214">
        <f>SUM(F186:F197)</f>
        <v>0</v>
      </c>
      <c r="J197" s="215">
        <f>SUM(G186:G197)</f>
        <v>0</v>
      </c>
      <c r="K197" s="216">
        <f>I197+J197</f>
        <v>0</v>
      </c>
    </row>
    <row r="198" spans="4:21" ht="14" thickTop="1" thickBot="1">
      <c r="D198" s="202" t="s">
        <v>153</v>
      </c>
      <c r="E198" s="203"/>
      <c r="F198" s="204"/>
      <c r="G198" s="205"/>
      <c r="H198" s="206"/>
      <c r="I198" s="207">
        <f>SUM(I18:I197)</f>
        <v>25734871.381732825</v>
      </c>
      <c r="J198" s="208">
        <f>SUM(J18:J197)</f>
        <v>227731742.19999999</v>
      </c>
      <c r="K198" s="209">
        <f>SUM(K18:K197)</f>
        <v>253466613.58173281</v>
      </c>
    </row>
    <row r="199" spans="4:21" ht="13.5" thickTop="1"/>
  </sheetData>
  <mergeCells count="39">
    <mergeCell ref="H2:I2"/>
    <mergeCell ref="Q2:R2"/>
    <mergeCell ref="B7:C8"/>
    <mergeCell ref="B9:C10"/>
    <mergeCell ref="D16:E16"/>
    <mergeCell ref="M12:N12"/>
    <mergeCell ref="F12:G12"/>
    <mergeCell ref="F16:H16"/>
    <mergeCell ref="I16:K16"/>
    <mergeCell ref="D18:D29"/>
    <mergeCell ref="M14:M25"/>
    <mergeCell ref="D30:D41"/>
    <mergeCell ref="M26:M37"/>
    <mergeCell ref="D42:D53"/>
    <mergeCell ref="M38:M49"/>
    <mergeCell ref="D54:D65"/>
    <mergeCell ref="M50:M61"/>
    <mergeCell ref="D66:D77"/>
    <mergeCell ref="M62:M73"/>
    <mergeCell ref="D78:D89"/>
    <mergeCell ref="M74:M85"/>
    <mergeCell ref="D90:D101"/>
    <mergeCell ref="M86:M97"/>
    <mergeCell ref="D102:D113"/>
    <mergeCell ref="M98:M109"/>
    <mergeCell ref="D114:D125"/>
    <mergeCell ref="M110:M121"/>
    <mergeCell ref="D126:D137"/>
    <mergeCell ref="M122:M133"/>
    <mergeCell ref="D138:D149"/>
    <mergeCell ref="M134:M145"/>
    <mergeCell ref="D150:D161"/>
    <mergeCell ref="M146:M157"/>
    <mergeCell ref="D162:D173"/>
    <mergeCell ref="M158:M169"/>
    <mergeCell ref="D174:D185"/>
    <mergeCell ref="M170:M181"/>
    <mergeCell ref="D186:D197"/>
    <mergeCell ref="M182:M193"/>
  </mergeCells>
  <phoneticPr fontId="28"/>
  <pageMargins left="0.7" right="0.7" top="0.75" bottom="0.75" header="0.3" footer="0.3"/>
  <pageSetup paperSize="9" scale="88" orientation="portrait" verticalDpi="1200" r:id="rId1"/>
  <rowBreaks count="2" manualBreakCount="2">
    <brk id="77" min="3" max="10" man="1"/>
    <brk id="137" min="3" max="10"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I49"/>
  <sheetViews>
    <sheetView topLeftCell="A15" workbookViewId="0">
      <selection activeCell="G49" sqref="G49"/>
    </sheetView>
  </sheetViews>
  <sheetFormatPr defaultColWidth="20.1796875" defaultRowHeight="13"/>
  <cols>
    <col min="1" max="1" width="13.6328125" style="3" customWidth="1"/>
    <col min="2" max="2" width="11.6328125" style="4" customWidth="1"/>
    <col min="3" max="3" width="25.81640625" style="4" customWidth="1"/>
    <col min="4" max="4" width="15.453125" style="3" customWidth="1"/>
    <col min="5" max="5" width="19.6328125" style="3" customWidth="1"/>
    <col min="6" max="6" width="8.453125" style="3" customWidth="1"/>
    <col min="7" max="7" width="14.36328125" style="3" customWidth="1"/>
    <col min="8" max="8" width="8" style="3" customWidth="1"/>
    <col min="9" max="9" width="4.453125" style="3" customWidth="1"/>
    <col min="10" max="35" width="13.1796875" style="3" customWidth="1"/>
    <col min="36" max="16384" width="20.1796875" style="3"/>
  </cols>
  <sheetData>
    <row r="2" spans="2:8">
      <c r="B2" s="55"/>
      <c r="C2" s="56"/>
      <c r="E2" s="41"/>
      <c r="F2" s="57"/>
      <c r="G2" s="58"/>
      <c r="H2" s="55"/>
    </row>
    <row r="3" spans="2:8">
      <c r="B3" s="59" t="s">
        <v>50</v>
      </c>
      <c r="C3" s="59"/>
      <c r="H3" s="55"/>
    </row>
    <row r="4" spans="2:8">
      <c r="B4" s="59" t="s">
        <v>51</v>
      </c>
      <c r="C4" s="8" t="s">
        <v>52</v>
      </c>
      <c r="H4" s="55"/>
    </row>
    <row r="5" spans="2:8">
      <c r="B5" s="59" t="s">
        <v>53</v>
      </c>
      <c r="C5" s="59" t="s">
        <v>54</v>
      </c>
      <c r="H5" s="55"/>
    </row>
    <row r="6" spans="2:8">
      <c r="B6" s="59" t="s">
        <v>55</v>
      </c>
      <c r="C6" s="59" t="s">
        <v>56</v>
      </c>
      <c r="H6" s="55"/>
    </row>
    <row r="7" spans="2:8" ht="26">
      <c r="B7" s="59" t="s">
        <v>57</v>
      </c>
      <c r="C7" s="60" t="s">
        <v>58</v>
      </c>
      <c r="H7" s="55"/>
    </row>
    <row r="8" spans="2:8" ht="52">
      <c r="B8" s="61" t="s">
        <v>59</v>
      </c>
      <c r="C8" s="59"/>
      <c r="H8" s="55"/>
    </row>
    <row r="9" spans="2:8">
      <c r="B9" s="59" t="s">
        <v>60</v>
      </c>
      <c r="C9" s="62">
        <f>初期条件!D12</f>
        <v>2002</v>
      </c>
      <c r="H9" s="55"/>
    </row>
    <row r="10" spans="2:8">
      <c r="B10" s="59" t="s">
        <v>61</v>
      </c>
      <c r="C10" s="75">
        <f>初期条件!F64/初期条件!D12</f>
        <v>162503.02657342656</v>
      </c>
      <c r="H10" s="55"/>
    </row>
    <row r="11" spans="2:8">
      <c r="B11" s="59" t="s">
        <v>62</v>
      </c>
      <c r="C11" s="75">
        <f>初期条件!F36+初期条件!F44+初期条件!F56</f>
        <v>325331059.19999999</v>
      </c>
      <c r="H11" s="55"/>
    </row>
    <row r="12" spans="2:8">
      <c r="B12" s="59" t="s">
        <v>63</v>
      </c>
      <c r="C12" s="75" t="s">
        <v>64</v>
      </c>
      <c r="H12" s="55"/>
    </row>
    <row r="13" spans="2:8" ht="26">
      <c r="B13" s="59" t="s">
        <v>65</v>
      </c>
      <c r="C13" s="77">
        <v>0.127</v>
      </c>
      <c r="D13" s="59"/>
      <c r="E13" s="421" t="s">
        <v>224</v>
      </c>
      <c r="F13" s="8" t="s">
        <v>66</v>
      </c>
      <c r="G13" s="64"/>
    </row>
    <row r="14" spans="2:8">
      <c r="B14" s="59"/>
      <c r="C14" s="59"/>
      <c r="D14" s="63"/>
      <c r="E14" s="65">
        <v>1</v>
      </c>
      <c r="F14" s="66">
        <v>1.4E-2</v>
      </c>
      <c r="G14" s="67"/>
    </row>
    <row r="15" spans="2:8">
      <c r="B15" s="59"/>
      <c r="C15" s="59"/>
      <c r="D15" s="63"/>
      <c r="E15" s="65">
        <v>1</v>
      </c>
      <c r="F15" s="66">
        <v>1.4E-2</v>
      </c>
      <c r="G15" s="67"/>
    </row>
    <row r="16" spans="2:8" ht="13.5" customHeight="1">
      <c r="B16" s="68" t="s">
        <v>67</v>
      </c>
      <c r="C16" s="377" t="s">
        <v>225</v>
      </c>
      <c r="D16" s="58"/>
      <c r="E16" s="58"/>
      <c r="F16" s="58"/>
      <c r="G16" s="58"/>
      <c r="H16" s="58"/>
    </row>
    <row r="17" spans="2:35" ht="11.25" customHeight="1">
      <c r="B17" s="70"/>
      <c r="C17" s="789"/>
      <c r="D17" s="789"/>
      <c r="E17" s="789"/>
      <c r="F17" s="789"/>
      <c r="G17" s="789"/>
    </row>
    <row r="18" spans="2:35" ht="18.75" customHeight="1">
      <c r="B18" s="3" t="s">
        <v>68</v>
      </c>
      <c r="C18" s="69"/>
      <c r="D18" s="71"/>
      <c r="E18" s="71"/>
      <c r="F18" s="71"/>
      <c r="G18" s="71"/>
    </row>
    <row r="19" spans="2:35">
      <c r="B19" s="3" t="s">
        <v>69</v>
      </c>
      <c r="C19" s="69"/>
      <c r="D19" s="69"/>
      <c r="E19" s="72"/>
    </row>
    <row r="20" spans="2:35" ht="21" customHeight="1" thickBot="1">
      <c r="B20" s="3"/>
      <c r="C20" s="69"/>
      <c r="D20" s="69"/>
      <c r="E20" s="72"/>
      <c r="J20" s="73">
        <v>0</v>
      </c>
      <c r="K20" s="73">
        <v>1</v>
      </c>
      <c r="L20" s="73">
        <v>2</v>
      </c>
      <c r="M20" s="73">
        <v>3</v>
      </c>
      <c r="N20" s="73">
        <v>4</v>
      </c>
      <c r="O20" s="73">
        <v>5</v>
      </c>
      <c r="P20" s="73">
        <v>6</v>
      </c>
      <c r="Q20" s="73">
        <v>7</v>
      </c>
      <c r="R20" s="73">
        <v>8</v>
      </c>
      <c r="S20" s="73">
        <v>9</v>
      </c>
      <c r="T20" s="73">
        <v>10</v>
      </c>
      <c r="U20" s="73">
        <v>11</v>
      </c>
      <c r="V20" s="73">
        <v>12</v>
      </c>
      <c r="W20" s="73">
        <v>13</v>
      </c>
      <c r="X20" s="73">
        <v>14</v>
      </c>
      <c r="Y20" s="73">
        <v>15</v>
      </c>
      <c r="Z20" s="73">
        <v>16</v>
      </c>
      <c r="AA20" s="73">
        <v>17</v>
      </c>
      <c r="AB20" s="73">
        <v>18</v>
      </c>
      <c r="AC20" s="73">
        <v>19</v>
      </c>
      <c r="AD20" s="73">
        <v>20</v>
      </c>
      <c r="AE20" s="73">
        <v>21</v>
      </c>
      <c r="AF20" s="73">
        <v>22</v>
      </c>
      <c r="AG20" s="73">
        <v>23</v>
      </c>
      <c r="AH20" s="73">
        <v>24</v>
      </c>
      <c r="AI20" s="73">
        <v>25</v>
      </c>
    </row>
    <row r="21" spans="2:35" s="74" customFormat="1" ht="37.5" customHeight="1" thickTop="1">
      <c r="B21" s="142">
        <f>C9</f>
        <v>2002</v>
      </c>
      <c r="C21" s="790" t="s">
        <v>150</v>
      </c>
      <c r="D21" s="791"/>
      <c r="E21" s="791"/>
      <c r="F21" s="791"/>
      <c r="G21" s="791"/>
      <c r="H21" s="792"/>
      <c r="I21" s="76"/>
      <c r="J21" s="58">
        <f>G23</f>
        <v>4263138.1997568002</v>
      </c>
      <c r="K21" s="58">
        <f>G24</f>
        <v>3721719.6483876863</v>
      </c>
      <c r="L21" s="58">
        <f>G25</f>
        <v>3249061.2530424502</v>
      </c>
      <c r="M21" s="58">
        <f>G26</f>
        <v>2836430.4739060593</v>
      </c>
      <c r="N21" s="58">
        <f>G27</f>
        <v>2476203.8037199895</v>
      </c>
      <c r="O21" s="58">
        <f>G28</f>
        <v>2161725.9206475508</v>
      </c>
      <c r="P21" s="58">
        <f>G29</f>
        <v>1887186.728725312</v>
      </c>
      <c r="Q21" s="58">
        <f>G30</f>
        <v>1647514.0141771976</v>
      </c>
      <c r="R21" s="58">
        <f>G31</f>
        <v>1438279.7343766934</v>
      </c>
      <c r="S21" s="58">
        <f>G32</f>
        <v>1255618.2081108533</v>
      </c>
      <c r="T21" s="58">
        <f>G33</f>
        <v>1096154.695680775</v>
      </c>
      <c r="U21" s="58">
        <f>G34</f>
        <v>956943.04932931648</v>
      </c>
      <c r="V21" s="58">
        <f>G35</f>
        <v>835411.28206449328</v>
      </c>
      <c r="W21" s="58">
        <f>G36</f>
        <v>729314.04924230266</v>
      </c>
      <c r="X21" s="58">
        <f>G37</f>
        <v>636691.16498853022</v>
      </c>
      <c r="Y21" s="58">
        <f>G38</f>
        <v>555831.38703498687</v>
      </c>
      <c r="Z21" s="58">
        <f>G39</f>
        <v>485240.80088154355</v>
      </c>
      <c r="AA21" s="58">
        <f>G40</f>
        <v>423615.21916958754</v>
      </c>
      <c r="AB21" s="58">
        <f>G41</f>
        <v>369816.08633504988</v>
      </c>
      <c r="AC21" s="58">
        <f>G42</f>
        <v>322849.44337049854</v>
      </c>
      <c r="AD21" s="58">
        <f>G43</f>
        <v>281847.56406244525</v>
      </c>
      <c r="AE21" s="58">
        <f>G44</f>
        <v>246052.92342651467</v>
      </c>
      <c r="AF21" s="58">
        <f>G45</f>
        <v>227731.74144000001</v>
      </c>
      <c r="AG21" s="58">
        <f>G46</f>
        <v>227731.74144000001</v>
      </c>
      <c r="AH21" s="58">
        <f>G47</f>
        <v>227731.74144000001</v>
      </c>
      <c r="AI21" s="58" t="e">
        <f>#REF!</f>
        <v>#REF!</v>
      </c>
    </row>
    <row r="22" spans="2:35" ht="48.75" customHeight="1">
      <c r="B22" s="7" t="s">
        <v>42</v>
      </c>
      <c r="C22" s="175" t="s">
        <v>151</v>
      </c>
      <c r="D22" s="143" t="s">
        <v>70</v>
      </c>
      <c r="E22" s="143" t="s">
        <v>71</v>
      </c>
      <c r="F22" s="144" t="s">
        <v>66</v>
      </c>
      <c r="G22" s="175" t="s">
        <v>152</v>
      </c>
      <c r="H22" s="145" t="str">
        <f>B22</f>
        <v>年次</v>
      </c>
      <c r="I22" s="55"/>
    </row>
    <row r="23" spans="2:35" ht="30" customHeight="1">
      <c r="B23" s="365">
        <v>1</v>
      </c>
      <c r="C23" s="352">
        <f>IF(C11&lt;=$C$11*0.05,$C$11*0.05,C11*0.936)</f>
        <v>304509871.41119999</v>
      </c>
      <c r="D23" s="353">
        <f>E14</f>
        <v>1</v>
      </c>
      <c r="E23" s="354">
        <f>C23*D23</f>
        <v>304509871.41119999</v>
      </c>
      <c r="F23" s="355">
        <v>1.4E-2</v>
      </c>
      <c r="G23" s="356">
        <f>E23*F23</f>
        <v>4263138.1997568002</v>
      </c>
      <c r="H23" s="366">
        <f>B23</f>
        <v>1</v>
      </c>
      <c r="I23" s="55"/>
    </row>
    <row r="24" spans="2:35" ht="30" customHeight="1">
      <c r="B24" s="365">
        <v>2</v>
      </c>
      <c r="C24" s="352">
        <f>IF(C23*(1-$C$13)&lt;=$C$11*0.05,$C$11*0.05,C23*(1-$C$13))</f>
        <v>265837117.7419776</v>
      </c>
      <c r="D24" s="353">
        <f>D23</f>
        <v>1</v>
      </c>
      <c r="E24" s="354">
        <f t="shared" ref="E24:E47" si="0">C24*D24</f>
        <v>265837117.7419776</v>
      </c>
      <c r="F24" s="355">
        <f>F23</f>
        <v>1.4E-2</v>
      </c>
      <c r="G24" s="356">
        <f>E24*F24</f>
        <v>3721719.6483876863</v>
      </c>
      <c r="H24" s="366">
        <f t="shared" ref="H24:H47" si="1">B24</f>
        <v>2</v>
      </c>
      <c r="I24" s="55"/>
    </row>
    <row r="25" spans="2:35" ht="30" customHeight="1">
      <c r="B25" s="365">
        <v>3</v>
      </c>
      <c r="C25" s="352">
        <f>IF(C24*(1-$C$13)&lt;=$C$11*0.05,$C$11*0.05,C24*(1-$C$13))</f>
        <v>232075803.78874645</v>
      </c>
      <c r="D25" s="353">
        <f>D24</f>
        <v>1</v>
      </c>
      <c r="E25" s="354">
        <f t="shared" si="0"/>
        <v>232075803.78874645</v>
      </c>
      <c r="F25" s="355">
        <f t="shared" ref="F25:F47" si="2">F24</f>
        <v>1.4E-2</v>
      </c>
      <c r="G25" s="356">
        <f t="shared" ref="G25:G47" si="3">E25*F25</f>
        <v>3249061.2530424502</v>
      </c>
      <c r="H25" s="366">
        <f t="shared" si="1"/>
        <v>3</v>
      </c>
      <c r="I25" s="55"/>
    </row>
    <row r="26" spans="2:35" ht="30" customHeight="1">
      <c r="B26" s="365">
        <v>4</v>
      </c>
      <c r="C26" s="352">
        <f>IF(C25*(1-$C$13)&lt;=$C$11*0.05,$C$11*0.05,C25*(1-$C$13))</f>
        <v>202602176.70757565</v>
      </c>
      <c r="D26" s="353">
        <v>1</v>
      </c>
      <c r="E26" s="354">
        <f t="shared" si="0"/>
        <v>202602176.70757565</v>
      </c>
      <c r="F26" s="355">
        <f t="shared" si="2"/>
        <v>1.4E-2</v>
      </c>
      <c r="G26" s="356">
        <f t="shared" si="3"/>
        <v>2836430.4739060593</v>
      </c>
      <c r="H26" s="366">
        <f t="shared" si="1"/>
        <v>4</v>
      </c>
      <c r="I26" s="55"/>
    </row>
    <row r="27" spans="2:35" ht="30" customHeight="1">
      <c r="B27" s="365">
        <v>5</v>
      </c>
      <c r="C27" s="352">
        <f t="shared" ref="C27:C47" si="4">IF(C26*(1-$C$13)&lt;=$C$11*0.05,$C$11*0.05,C26*(1-$C$13))</f>
        <v>176871700.26571354</v>
      </c>
      <c r="D27" s="353">
        <f>D26</f>
        <v>1</v>
      </c>
      <c r="E27" s="354">
        <f t="shared" si="0"/>
        <v>176871700.26571354</v>
      </c>
      <c r="F27" s="355">
        <f t="shared" si="2"/>
        <v>1.4E-2</v>
      </c>
      <c r="G27" s="356">
        <f t="shared" si="3"/>
        <v>2476203.8037199895</v>
      </c>
      <c r="H27" s="366">
        <f t="shared" si="1"/>
        <v>5</v>
      </c>
      <c r="I27" s="55"/>
    </row>
    <row r="28" spans="2:35" ht="30" customHeight="1">
      <c r="B28" s="365">
        <v>6</v>
      </c>
      <c r="C28" s="352">
        <f t="shared" si="4"/>
        <v>154408994.33196792</v>
      </c>
      <c r="D28" s="353">
        <f t="shared" ref="D28:D47" si="5">D27</f>
        <v>1</v>
      </c>
      <c r="E28" s="354">
        <f t="shared" si="0"/>
        <v>154408994.33196792</v>
      </c>
      <c r="F28" s="355">
        <f t="shared" si="2"/>
        <v>1.4E-2</v>
      </c>
      <c r="G28" s="356">
        <f t="shared" si="3"/>
        <v>2161725.9206475508</v>
      </c>
      <c r="H28" s="366">
        <f t="shared" si="1"/>
        <v>6</v>
      </c>
      <c r="I28" s="55"/>
    </row>
    <row r="29" spans="2:35" ht="30" customHeight="1">
      <c r="B29" s="365">
        <v>7</v>
      </c>
      <c r="C29" s="352">
        <f t="shared" si="4"/>
        <v>134799052.051808</v>
      </c>
      <c r="D29" s="353">
        <f t="shared" si="5"/>
        <v>1</v>
      </c>
      <c r="E29" s="354">
        <f t="shared" si="0"/>
        <v>134799052.051808</v>
      </c>
      <c r="F29" s="355">
        <f t="shared" si="2"/>
        <v>1.4E-2</v>
      </c>
      <c r="G29" s="356">
        <f t="shared" si="3"/>
        <v>1887186.728725312</v>
      </c>
      <c r="H29" s="366">
        <f t="shared" si="1"/>
        <v>7</v>
      </c>
      <c r="I29" s="55"/>
    </row>
    <row r="30" spans="2:35" ht="30" customHeight="1">
      <c r="B30" s="365">
        <v>8</v>
      </c>
      <c r="C30" s="352">
        <f t="shared" si="4"/>
        <v>117679572.44122839</v>
      </c>
      <c r="D30" s="353">
        <f t="shared" si="5"/>
        <v>1</v>
      </c>
      <c r="E30" s="354">
        <f t="shared" si="0"/>
        <v>117679572.44122839</v>
      </c>
      <c r="F30" s="355">
        <f t="shared" si="2"/>
        <v>1.4E-2</v>
      </c>
      <c r="G30" s="356">
        <f t="shared" si="3"/>
        <v>1647514.0141771976</v>
      </c>
      <c r="H30" s="366">
        <f t="shared" si="1"/>
        <v>8</v>
      </c>
      <c r="I30" s="55"/>
    </row>
    <row r="31" spans="2:35" ht="30" customHeight="1">
      <c r="B31" s="365">
        <v>9</v>
      </c>
      <c r="C31" s="352">
        <f t="shared" si="4"/>
        <v>102734266.74119239</v>
      </c>
      <c r="D31" s="353">
        <f t="shared" si="5"/>
        <v>1</v>
      </c>
      <c r="E31" s="354">
        <f t="shared" si="0"/>
        <v>102734266.74119239</v>
      </c>
      <c r="F31" s="355">
        <f t="shared" si="2"/>
        <v>1.4E-2</v>
      </c>
      <c r="G31" s="356">
        <f t="shared" si="3"/>
        <v>1438279.7343766934</v>
      </c>
      <c r="H31" s="366">
        <f t="shared" si="1"/>
        <v>9</v>
      </c>
      <c r="I31" s="55"/>
    </row>
    <row r="32" spans="2:35" ht="30" customHeight="1">
      <c r="B32" s="365">
        <v>10</v>
      </c>
      <c r="C32" s="352">
        <f t="shared" si="4"/>
        <v>89687014.865060955</v>
      </c>
      <c r="D32" s="353">
        <f t="shared" si="5"/>
        <v>1</v>
      </c>
      <c r="E32" s="354">
        <f t="shared" si="0"/>
        <v>89687014.865060955</v>
      </c>
      <c r="F32" s="355">
        <f t="shared" si="2"/>
        <v>1.4E-2</v>
      </c>
      <c r="G32" s="356">
        <f t="shared" si="3"/>
        <v>1255618.2081108533</v>
      </c>
      <c r="H32" s="366">
        <f t="shared" si="1"/>
        <v>10</v>
      </c>
      <c r="I32" s="55"/>
    </row>
    <row r="33" spans="2:9" ht="30" customHeight="1">
      <c r="B33" s="365">
        <v>11</v>
      </c>
      <c r="C33" s="352">
        <f t="shared" si="4"/>
        <v>78296763.977198213</v>
      </c>
      <c r="D33" s="353">
        <f t="shared" si="5"/>
        <v>1</v>
      </c>
      <c r="E33" s="354">
        <f t="shared" si="0"/>
        <v>78296763.977198213</v>
      </c>
      <c r="F33" s="355">
        <f t="shared" si="2"/>
        <v>1.4E-2</v>
      </c>
      <c r="G33" s="356">
        <f t="shared" si="3"/>
        <v>1096154.695680775</v>
      </c>
      <c r="H33" s="366">
        <f t="shared" si="1"/>
        <v>11</v>
      </c>
      <c r="I33" s="55"/>
    </row>
    <row r="34" spans="2:9" ht="30" customHeight="1">
      <c r="B34" s="365">
        <v>12</v>
      </c>
      <c r="C34" s="352">
        <f t="shared" si="4"/>
        <v>68353074.952094033</v>
      </c>
      <c r="D34" s="353">
        <f t="shared" si="5"/>
        <v>1</v>
      </c>
      <c r="E34" s="354">
        <f t="shared" si="0"/>
        <v>68353074.952094033</v>
      </c>
      <c r="F34" s="355">
        <f t="shared" si="2"/>
        <v>1.4E-2</v>
      </c>
      <c r="G34" s="356">
        <f t="shared" si="3"/>
        <v>956943.04932931648</v>
      </c>
      <c r="H34" s="366">
        <f t="shared" si="1"/>
        <v>12</v>
      </c>
      <c r="I34" s="55"/>
    </row>
    <row r="35" spans="2:9" ht="30" customHeight="1">
      <c r="B35" s="365">
        <v>13</v>
      </c>
      <c r="C35" s="352">
        <f t="shared" si="4"/>
        <v>59672234.43317809</v>
      </c>
      <c r="D35" s="353">
        <f t="shared" si="5"/>
        <v>1</v>
      </c>
      <c r="E35" s="354">
        <f t="shared" si="0"/>
        <v>59672234.43317809</v>
      </c>
      <c r="F35" s="355">
        <f t="shared" si="2"/>
        <v>1.4E-2</v>
      </c>
      <c r="G35" s="356">
        <f t="shared" si="3"/>
        <v>835411.28206449328</v>
      </c>
      <c r="H35" s="366">
        <f t="shared" si="1"/>
        <v>13</v>
      </c>
      <c r="I35" s="55"/>
    </row>
    <row r="36" spans="2:9" ht="30" customHeight="1">
      <c r="B36" s="365">
        <v>14</v>
      </c>
      <c r="C36" s="352">
        <f t="shared" si="4"/>
        <v>52093860.660164475</v>
      </c>
      <c r="D36" s="353">
        <f t="shared" si="5"/>
        <v>1</v>
      </c>
      <c r="E36" s="354">
        <f t="shared" si="0"/>
        <v>52093860.660164475</v>
      </c>
      <c r="F36" s="355">
        <f t="shared" si="2"/>
        <v>1.4E-2</v>
      </c>
      <c r="G36" s="356">
        <f t="shared" si="3"/>
        <v>729314.04924230266</v>
      </c>
      <c r="H36" s="366">
        <f t="shared" si="1"/>
        <v>14</v>
      </c>
      <c r="I36" s="55"/>
    </row>
    <row r="37" spans="2:9" ht="30" customHeight="1">
      <c r="B37" s="365">
        <v>15</v>
      </c>
      <c r="C37" s="352">
        <f t="shared" si="4"/>
        <v>45477940.356323585</v>
      </c>
      <c r="D37" s="353">
        <f t="shared" si="5"/>
        <v>1</v>
      </c>
      <c r="E37" s="354">
        <f t="shared" si="0"/>
        <v>45477940.356323585</v>
      </c>
      <c r="F37" s="355">
        <f t="shared" si="2"/>
        <v>1.4E-2</v>
      </c>
      <c r="G37" s="356">
        <f t="shared" si="3"/>
        <v>636691.16498853022</v>
      </c>
      <c r="H37" s="366">
        <f t="shared" si="1"/>
        <v>15</v>
      </c>
    </row>
    <row r="38" spans="2:9" ht="30" customHeight="1">
      <c r="B38" s="365">
        <v>16</v>
      </c>
      <c r="C38" s="352">
        <f t="shared" si="4"/>
        <v>39702241.931070492</v>
      </c>
      <c r="D38" s="353">
        <f t="shared" si="5"/>
        <v>1</v>
      </c>
      <c r="E38" s="354">
        <f t="shared" si="0"/>
        <v>39702241.931070492</v>
      </c>
      <c r="F38" s="355">
        <f t="shared" si="2"/>
        <v>1.4E-2</v>
      </c>
      <c r="G38" s="356">
        <f t="shared" si="3"/>
        <v>555831.38703498687</v>
      </c>
      <c r="H38" s="366">
        <f t="shared" si="1"/>
        <v>16</v>
      </c>
    </row>
    <row r="39" spans="2:9" ht="30" customHeight="1">
      <c r="B39" s="365">
        <v>17</v>
      </c>
      <c r="C39" s="352">
        <f t="shared" si="4"/>
        <v>34660057.205824539</v>
      </c>
      <c r="D39" s="353">
        <f t="shared" si="5"/>
        <v>1</v>
      </c>
      <c r="E39" s="354">
        <f t="shared" si="0"/>
        <v>34660057.205824539</v>
      </c>
      <c r="F39" s="355">
        <f t="shared" si="2"/>
        <v>1.4E-2</v>
      </c>
      <c r="G39" s="356">
        <f t="shared" si="3"/>
        <v>485240.80088154355</v>
      </c>
      <c r="H39" s="366">
        <f t="shared" si="1"/>
        <v>17</v>
      </c>
    </row>
    <row r="40" spans="2:9" ht="30" customHeight="1">
      <c r="B40" s="365">
        <v>18</v>
      </c>
      <c r="C40" s="352">
        <f t="shared" si="4"/>
        <v>30258229.940684821</v>
      </c>
      <c r="D40" s="353">
        <f t="shared" si="5"/>
        <v>1</v>
      </c>
      <c r="E40" s="354">
        <f t="shared" si="0"/>
        <v>30258229.940684821</v>
      </c>
      <c r="F40" s="355">
        <f t="shared" si="2"/>
        <v>1.4E-2</v>
      </c>
      <c r="G40" s="356">
        <f t="shared" si="3"/>
        <v>423615.21916958754</v>
      </c>
      <c r="H40" s="366">
        <f t="shared" si="1"/>
        <v>18</v>
      </c>
    </row>
    <row r="41" spans="2:9" ht="30" customHeight="1">
      <c r="B41" s="365">
        <v>19</v>
      </c>
      <c r="C41" s="352">
        <f t="shared" si="4"/>
        <v>26415434.738217849</v>
      </c>
      <c r="D41" s="353">
        <f t="shared" si="5"/>
        <v>1</v>
      </c>
      <c r="E41" s="354">
        <f t="shared" si="0"/>
        <v>26415434.738217849</v>
      </c>
      <c r="F41" s="355">
        <f t="shared" si="2"/>
        <v>1.4E-2</v>
      </c>
      <c r="G41" s="356">
        <f t="shared" si="3"/>
        <v>369816.08633504988</v>
      </c>
      <c r="H41" s="366">
        <f t="shared" si="1"/>
        <v>19</v>
      </c>
    </row>
    <row r="42" spans="2:9" ht="30" customHeight="1">
      <c r="B42" s="365">
        <v>20</v>
      </c>
      <c r="C42" s="352">
        <f t="shared" si="4"/>
        <v>23060674.526464183</v>
      </c>
      <c r="D42" s="353">
        <f t="shared" si="5"/>
        <v>1</v>
      </c>
      <c r="E42" s="354">
        <f t="shared" si="0"/>
        <v>23060674.526464183</v>
      </c>
      <c r="F42" s="355">
        <f t="shared" si="2"/>
        <v>1.4E-2</v>
      </c>
      <c r="G42" s="356">
        <f t="shared" si="3"/>
        <v>322849.44337049854</v>
      </c>
      <c r="H42" s="366">
        <f t="shared" si="1"/>
        <v>20</v>
      </c>
    </row>
    <row r="43" spans="2:9" ht="30" customHeight="1">
      <c r="B43" s="365">
        <v>21</v>
      </c>
      <c r="C43" s="352">
        <f t="shared" si="4"/>
        <v>20131968.86160323</v>
      </c>
      <c r="D43" s="353">
        <f t="shared" si="5"/>
        <v>1</v>
      </c>
      <c r="E43" s="354">
        <f t="shared" si="0"/>
        <v>20131968.86160323</v>
      </c>
      <c r="F43" s="355">
        <f t="shared" si="2"/>
        <v>1.4E-2</v>
      </c>
      <c r="G43" s="356">
        <f t="shared" si="3"/>
        <v>281847.56406244525</v>
      </c>
      <c r="H43" s="366">
        <f t="shared" si="1"/>
        <v>21</v>
      </c>
    </row>
    <row r="44" spans="2:9" ht="30" customHeight="1">
      <c r="B44" s="365">
        <v>22</v>
      </c>
      <c r="C44" s="352">
        <f t="shared" si="4"/>
        <v>17575208.816179618</v>
      </c>
      <c r="D44" s="353">
        <f t="shared" si="5"/>
        <v>1</v>
      </c>
      <c r="E44" s="354">
        <f t="shared" si="0"/>
        <v>17575208.816179618</v>
      </c>
      <c r="F44" s="355">
        <f t="shared" si="2"/>
        <v>1.4E-2</v>
      </c>
      <c r="G44" s="356">
        <f t="shared" si="3"/>
        <v>246052.92342651467</v>
      </c>
      <c r="H44" s="366">
        <f t="shared" si="1"/>
        <v>22</v>
      </c>
    </row>
    <row r="45" spans="2:9" ht="30" customHeight="1">
      <c r="B45" s="365">
        <v>23</v>
      </c>
      <c r="C45" s="352">
        <f t="shared" si="4"/>
        <v>16266552.960000001</v>
      </c>
      <c r="D45" s="353">
        <f t="shared" si="5"/>
        <v>1</v>
      </c>
      <c r="E45" s="354">
        <f t="shared" si="0"/>
        <v>16266552.960000001</v>
      </c>
      <c r="F45" s="355">
        <f t="shared" si="2"/>
        <v>1.4E-2</v>
      </c>
      <c r="G45" s="356">
        <f t="shared" si="3"/>
        <v>227731.74144000001</v>
      </c>
      <c r="H45" s="366">
        <f t="shared" si="1"/>
        <v>23</v>
      </c>
    </row>
    <row r="46" spans="2:9" ht="30" customHeight="1">
      <c r="B46" s="365">
        <v>24</v>
      </c>
      <c r="C46" s="352">
        <f t="shared" si="4"/>
        <v>16266552.960000001</v>
      </c>
      <c r="D46" s="353">
        <f t="shared" si="5"/>
        <v>1</v>
      </c>
      <c r="E46" s="354">
        <f t="shared" si="0"/>
        <v>16266552.960000001</v>
      </c>
      <c r="F46" s="355">
        <f t="shared" si="2"/>
        <v>1.4E-2</v>
      </c>
      <c r="G46" s="356">
        <f t="shared" si="3"/>
        <v>227731.74144000001</v>
      </c>
      <c r="H46" s="366">
        <f t="shared" si="1"/>
        <v>24</v>
      </c>
    </row>
    <row r="47" spans="2:9" ht="30" customHeight="1" thickBot="1">
      <c r="B47" s="367">
        <v>25</v>
      </c>
      <c r="C47" s="357">
        <f t="shared" si="4"/>
        <v>16266552.960000001</v>
      </c>
      <c r="D47" s="358">
        <f t="shared" si="5"/>
        <v>1</v>
      </c>
      <c r="E47" s="359">
        <f t="shared" si="0"/>
        <v>16266552.960000001</v>
      </c>
      <c r="F47" s="360">
        <f t="shared" si="2"/>
        <v>1.4E-2</v>
      </c>
      <c r="G47" s="361">
        <f t="shared" si="3"/>
        <v>227731.74144000001</v>
      </c>
      <c r="H47" s="368">
        <f t="shared" si="1"/>
        <v>25</v>
      </c>
    </row>
    <row r="48" spans="2:9" ht="30" customHeight="1" thickTop="1" thickBot="1">
      <c r="C48" s="362"/>
      <c r="D48" s="337"/>
      <c r="E48" s="337"/>
      <c r="F48" s="363" t="s">
        <v>343</v>
      </c>
      <c r="G48" s="364">
        <f>SUM(G23:G42)</f>
        <v>31348745.162947677</v>
      </c>
      <c r="H48" s="163"/>
    </row>
    <row r="49" spans="6:7" ht="30" customHeight="1" thickTop="1">
      <c r="F49" s="3" t="s">
        <v>344</v>
      </c>
      <c r="G49" s="3">
        <f>G48/20</f>
        <v>1567437.2581473838</v>
      </c>
    </row>
  </sheetData>
  <mergeCells count="2">
    <mergeCell ref="C17:G17"/>
    <mergeCell ref="C21:H21"/>
  </mergeCells>
  <phoneticPr fontId="28"/>
  <pageMargins left="0.7" right="0.7" top="0.75" bottom="0.75" header="0.3" footer="0.3"/>
  <pageSetup paperSize="9" scale="88" orientation="portrait"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初期条件</vt:lpstr>
      <vt:lpstr>年間システム発電量</vt:lpstr>
      <vt:lpstr>事業収支</vt:lpstr>
      <vt:lpstr>事業収支（抜粋）</vt:lpstr>
      <vt:lpstr>設備所有者の売電収入シナリオ</vt:lpstr>
      <vt:lpstr>借入返済表</vt:lpstr>
      <vt:lpstr>償却資産税の計算</vt:lpstr>
      <vt:lpstr>事業収支!Print_Area</vt:lpstr>
      <vt:lpstr>'事業収支（抜粋）'!Print_Area</vt:lpstr>
      <vt:lpstr>借入返済表!Print_Area</vt:lpstr>
      <vt:lpstr>初期条件!Print_Area</vt:lpstr>
      <vt:lpstr>償却資産税の計算!Print_Area</vt:lpstr>
      <vt:lpstr>設備所有者の売電収入シナリオ!Print_Area</vt:lpstr>
      <vt:lpstr>年間システム発電量!Print_Area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fridge</dc:creator>
  <cp:lastModifiedBy>K NN</cp:lastModifiedBy>
  <cp:lastPrinted>2023-12-10T13:03:04Z</cp:lastPrinted>
  <dcterms:created xsi:type="dcterms:W3CDTF">2011-04-08T05:16:08Z</dcterms:created>
  <dcterms:modified xsi:type="dcterms:W3CDTF">2026-10-21T00:49:55Z</dcterms:modified>
</cp:coreProperties>
</file>