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60" tabRatio="795" activeTab="4"/>
  </bookViews>
  <sheets>
    <sheet name="表紙" sheetId="1" r:id="rId1"/>
    <sheet name="1-小型風力発電設置内容" sheetId="2" r:id="rId2"/>
    <sheet name="2-発電シミュレーション" sheetId="3" r:id="rId3"/>
    <sheet name="5-パワーカーブ" sheetId="4" r:id="rId4"/>
    <sheet name="Datasheet" sheetId="5" r:id="rId5"/>
    <sheet name="消費税対応シート" sheetId="6" r:id="rId6"/>
    <sheet name="減価償却費算定" sheetId="7" r:id="rId7"/>
    <sheet name="減価償却率表" sheetId="8" r:id="rId8"/>
  </sheets>
  <definedNames>
    <definedName name="cumulate">OFFSET('Datasheet'!$B$110,,0,,'Datasheet'!$B$53)</definedName>
    <definedName name="cumulate_forecast">OFFSET('Datasheet'!$B$99,,0,,'Datasheet'!$B$53)</definedName>
    <definedName name="cumulate_uri">OFFSET('Datasheet'!$B$105,,0,,'Datasheet'!$B$53)</definedName>
    <definedName name="estimatedcost">OFFSET('Datasheet'!$B$136,,0,,'Datasheet'!$B$53)</definedName>
    <definedName name="expense">OFFSET('Datasheet'!$B$108,,0,,'Datasheet'!$B$53)</definedName>
    <definedName name="forecast">OFFSET('Datasheet'!$B$98,,0,,'Datasheet'!$B$53)</definedName>
    <definedName name="income">OFFSET('Datasheet'!$B$107,,0,,'Datasheet'!$B$53)</definedName>
    <definedName name="loan">OFFSET('Datasheet'!#REF!,,0,,'Datasheet'!$B$53)</definedName>
    <definedName name="Nensu1">OFFSET('Datasheet'!$B$103,,0,,'Datasheet'!$B$53)</definedName>
    <definedName name="Nensu2">OFFSET('Datasheet'!$B$106,,0,,'Datasheet'!$B$53)</definedName>
    <definedName name="Nensu3">OFFSET('Datasheet'!$B$96,,0,,'Datasheet'!$B$53)</definedName>
    <definedName name="Nensu4">OFFSET('Datasheet'!$B$135,,0,,'Datasheet'!$B$92)</definedName>
    <definedName name="_xlnm.Print_Area" localSheetId="1">'1-小型風力発電設置内容'!$A$1:$R$41</definedName>
  </definedNames>
  <calcPr fullCalcOnLoad="1"/>
</workbook>
</file>

<file path=xl/comments5.xml><?xml version="1.0" encoding="utf-8"?>
<comments xmlns="http://schemas.openxmlformats.org/spreadsheetml/2006/main">
  <authors>
    <author>Master</author>
    <author>C Tamura</author>
    <author>Shigeyoshi Kibata</author>
  </authors>
  <commentList>
    <comment ref="A143" authorId="0">
      <text>
        <r>
          <rPr>
            <b/>
            <sz val="9"/>
            <rFont val="ＭＳ Ｐゴシック"/>
            <family val="3"/>
          </rPr>
          <t>前年度の経常利益合計が黒字＝今年度の経常利益
赤字＝前年度の経常利益合計＋今年度の経常利益＋除外赤字</t>
        </r>
      </text>
    </comment>
    <comment ref="A144" authorId="0">
      <text>
        <r>
          <rPr>
            <b/>
            <sz val="9"/>
            <rFont val="ＭＳ Ｐゴシック"/>
            <family val="3"/>
          </rPr>
          <t>範囲外になった経常利益赤字
（経常利益合計が範囲に黒字がある場合、0）
※範囲＝過去９年</t>
        </r>
      </text>
    </comment>
    <comment ref="A145" authorId="0">
      <text>
        <r>
          <rPr>
            <b/>
            <sz val="9"/>
            <rFont val="ＭＳ Ｐゴシック"/>
            <family val="3"/>
          </rPr>
          <t>前年度の経常利益合計+除外赤字が黒字＝今年度の経常利益
赤字＝今年度の経常利益合計（前年度の経常利益合計＋今年度の経常利益+除外赤字）</t>
        </r>
      </text>
    </comment>
    <comment ref="A157" authorId="1">
      <text>
        <r>
          <rPr>
            <b/>
            <sz val="9"/>
            <rFont val="ＭＳ Ｐゴシック"/>
            <family val="3"/>
          </rPr>
          <t>課税標準の特例措置（固定資産税）がされる場合
２～４年目の評価額を2/3にする</t>
        </r>
      </text>
    </comment>
    <comment ref="A136" authorId="2">
      <text>
        <r>
          <rPr>
            <sz val="9"/>
            <rFont val="ＭＳ Ｐゴシック"/>
            <family val="3"/>
          </rPr>
          <t>土地代、土地取得費等、初期費用分を追加</t>
        </r>
      </text>
    </comment>
    <comment ref="A139" authorId="2">
      <text>
        <r>
          <rPr>
            <sz val="9"/>
            <rFont val="ＭＳ Ｐゴシック"/>
            <family val="3"/>
          </rPr>
          <t>固定資産税（土地）、土地取得費、その他経費を追加</t>
        </r>
      </text>
    </comment>
  </commentList>
</comments>
</file>

<file path=xl/sharedStrings.xml><?xml version="1.0" encoding="utf-8"?>
<sst xmlns="http://schemas.openxmlformats.org/spreadsheetml/2006/main" count="414" uniqueCount="334">
  <si>
    <r>
      <t>パワー係数：Cp＝(パワーカーブ*1000)/(0.5*1.225*(wsb^3)*</t>
    </r>
    <r>
      <rPr>
        <sz val="10"/>
        <rFont val="ＭＳ Ｐゴシック"/>
        <family val="3"/>
      </rPr>
      <t>風車面積</t>
    </r>
    <r>
      <rPr>
        <sz val="10"/>
        <color indexed="8"/>
        <rFont val="ＭＳ Ｐゴシック"/>
        <family val="3"/>
      </rPr>
      <t>)</t>
    </r>
  </si>
  <si>
    <t>その他メンテナンスA時期（年目）</t>
  </si>
  <si>
    <t>システム概算費用（円）</t>
  </si>
  <si>
    <t>備考欄コメント（2）</t>
  </si>
  <si>
    <t>小型風力発電システム設置のご提案</t>
  </si>
  <si>
    <t>日付</t>
  </si>
  <si>
    <t>修繕費（年間）</t>
  </si>
  <si>
    <t>【条件】</t>
  </si>
  <si>
    <t>10月</t>
  </si>
  <si>
    <t>会社名</t>
  </si>
  <si>
    <t>年平均風速</t>
  </si>
  <si>
    <t>発電稼働率（％）</t>
  </si>
  <si>
    <t>型式</t>
  </si>
  <si>
    <t>５、小型風力発電システム：パワーカーブ</t>
  </si>
  <si>
    <t>*ワイブル係数（K）値：NEDO局所風況マップ500mメッシュデータ（地上高30mデータ）。不明な場合：K=2（内陸）、K=3（海岸）、K=4（島と貿易風あり）</t>
  </si>
  <si>
    <t>11s/m</t>
  </si>
  <si>
    <t>4月</t>
  </si>
  <si>
    <t>その他メンテナンスD費用</t>
  </si>
  <si>
    <t>1s/m</t>
  </si>
  <si>
    <t>税抜</t>
  </si>
  <si>
    <t>減価償却費（小型風力ｼｽﾃﾑの償却）</t>
  </si>
  <si>
    <t>6s/m</t>
  </si>
  <si>
    <t>一般管理費</t>
  </si>
  <si>
    <t>【生産性向上設備投資促進税制・50%特別償却の場合】</t>
  </si>
  <si>
    <t>土地造成費用</t>
  </si>
  <si>
    <t>平均発電力（kW）</t>
  </si>
  <si>
    <t>B）小型風力発電システムご提案内容</t>
  </si>
  <si>
    <t>※B51=1の場合、税込計算金額</t>
  </si>
  <si>
    <t>年</t>
  </si>
  <si>
    <t>買取期間（年）</t>
  </si>
  <si>
    <t>IRR（内部利益率）：融資無しの場合</t>
  </si>
  <si>
    <t>年間予想発電量（kWh）</t>
  </si>
  <si>
    <t>1月</t>
  </si>
  <si>
    <t>カットイン風力（m/s）</t>
  </si>
  <si>
    <t>8月</t>
  </si>
  <si>
    <t>Wind Speed Bin（m/s）</t>
  </si>
  <si>
    <t>ワイブル係数K値</t>
  </si>
  <si>
    <t>予想発電量</t>
  </si>
  <si>
    <t>設置住所</t>
  </si>
  <si>
    <t>発電開始予定月</t>
  </si>
  <si>
    <t>※税抜き：0、税込：1とする</t>
  </si>
  <si>
    <t>・</t>
  </si>
  <si>
    <t>※買取単価は、経産省指定の税抜き単価に変更</t>
  </si>
  <si>
    <t>*標高（海抜）：デフォルト値0m。空気密度ファクターの計算に使用されます。</t>
  </si>
  <si>
    <t>経費等支出（消費税・償却税・
固定資産税（土地）等を含む）</t>
  </si>
  <si>
    <t>パワーカーブ(kW）</t>
  </si>
  <si>
    <t>地方法人特別税　　　　　電気事業税　Ｘ　８１％</t>
  </si>
  <si>
    <t>【グリーン投資減税・即時償却の場合】</t>
  </si>
  <si>
    <t>5月</t>
  </si>
  <si>
    <t>補助金等の金額</t>
  </si>
  <si>
    <t>設置住所：</t>
  </si>
  <si>
    <t>別表第八　平成十九年四月一日以後に取得をされた減価償却資産の定額法の償却率表</t>
  </si>
  <si>
    <t>※期間変動に合わせてグラフの横軸を可変</t>
  </si>
  <si>
    <t>%</t>
  </si>
  <si>
    <t>設置概算合計（ｼｽﾃﾑ代・土地代・造成・連系等その他初期費用）（税込）</t>
  </si>
  <si>
    <t>※選択肢を追加（含めない：0、含める：1）</t>
  </si>
  <si>
    <t>※計算する：1、計算しない：0</t>
  </si>
  <si>
    <t>買取期間予想発電量</t>
  </si>
  <si>
    <t>20s/m</t>
  </si>
  <si>
    <t>税抜き</t>
  </si>
  <si>
    <t>７０ｍ</t>
  </si>
  <si>
    <t>税込み</t>
  </si>
  <si>
    <t>償却率</t>
  </si>
  <si>
    <t>レポートタイトル</t>
  </si>
  <si>
    <t>PCSメンテナンス費用（円）</t>
  </si>
  <si>
    <t>・調整前償却額≦償却保証額ならば、</t>
  </si>
  <si>
    <t>償却資産評価額</t>
  </si>
  <si>
    <t>年度</t>
  </si>
  <si>
    <t>その他経費（年間）</t>
  </si>
  <si>
    <t>9月</t>
  </si>
  <si>
    <t>　スムーズな地形または開放水域：0.11、ラフな地形、高い乱流が考慮される場合：0.22、不明な場合：0.18</t>
  </si>
  <si>
    <t>18s/m</t>
  </si>
  <si>
    <t>別表第十　平成二十四年四月一日以後に取得をされた減価償却資産の定率法の償却率、改定償却率及び保証率の表</t>
  </si>
  <si>
    <t>（最終改正：平成二七年三月三一日財務省令第三八号）</t>
  </si>
  <si>
    <t>当期獲得資金</t>
  </si>
  <si>
    <t>投資額/融資返済前収益</t>
  </si>
  <si>
    <t>※一括償却　なし：0、即時：1、30％特別：2、7％中小企業等税額控除：3、50％特別：4、4％税額控除：5　とする</t>
  </si>
  <si>
    <t>ブレードの数</t>
  </si>
  <si>
    <t>ローン利率（％）</t>
  </si>
  <si>
    <t>支出小計</t>
  </si>
  <si>
    <t>消費税率（％）</t>
  </si>
  <si>
    <t>&lt;備考&gt;</t>
  </si>
  <si>
    <t>*乱流係数：デフォルト値0％。設置場所による変動値としてパワーカーブに影響します。典型的な乱流係数はすでに計算モデルに組み入れられていますので特別な場合のみ設定します。</t>
  </si>
  <si>
    <t>　償却限度額＝期首帳簿価額×定率法の償却率</t>
  </si>
  <si>
    <t>*年平均風速：NEDO局所風況マップ500mメッシュデータ（地上高30ｍデータ）</t>
  </si>
  <si>
    <t>セルは、エクセル側で計算</t>
  </si>
  <si>
    <t>土地賃借料（年間）</t>
  </si>
  <si>
    <t>・一連の定期的なキャッシュ フローに対する内部利益率を表します。</t>
  </si>
  <si>
    <t>・IRR（内部利益率）がプラスの場合、プロジェクト実行の価値が有ると言えます。</t>
  </si>
  <si>
    <t>法人税等</t>
  </si>
  <si>
    <t>調整後経常利益</t>
  </si>
  <si>
    <t>A）条件及び結果</t>
  </si>
  <si>
    <t>【定率法の場合】</t>
  </si>
  <si>
    <t>※発電開始予定月</t>
  </si>
  <si>
    <t>5％税込み</t>
  </si>
  <si>
    <t>16s/m</t>
  </si>
  <si>
    <t>・内部利益率とは、一定の期間ごとに発生する支払い (負の数) と収益 (正の数) からなる投資効率を表す利率のことです。</t>
  </si>
  <si>
    <t>空気密度ファクター（％）</t>
  </si>
  <si>
    <t>償却資産税　（固定資産税）</t>
  </si>
  <si>
    <t>PCS変換効率（％）</t>
  </si>
  <si>
    <t>標高（海抜）（m）</t>
  </si>
  <si>
    <t>地点のファイル名</t>
  </si>
  <si>
    <t>月決め表</t>
  </si>
  <si>
    <t>円</t>
  </si>
  <si>
    <t>その他メンテナンスC費用</t>
  </si>
  <si>
    <t>人件費（電気主任技術者等費用）（年間）</t>
  </si>
  <si>
    <t>減価償却費算定基準</t>
  </si>
  <si>
    <t>システム減衰率（％）</t>
  </si>
  <si>
    <r>
      <rPr>
        <sz val="10"/>
        <color indexed="8"/>
        <rFont val="ＭＳ Ｐゴシック"/>
        <family val="3"/>
      </rPr>
      <t>定額法の償却率</t>
    </r>
  </si>
  <si>
    <t>純利益</t>
  </si>
  <si>
    <t>年合計</t>
  </si>
  <si>
    <t>土地代</t>
  </si>
  <si>
    <t>その他メンテナンスB費用</t>
  </si>
  <si>
    <t>消費税金額</t>
  </si>
  <si>
    <t>その他メンテナンスD時期（年目）</t>
  </si>
  <si>
    <t>備考欄コメント（3）</t>
  </si>
  <si>
    <t>・IRR 関数の計算には、反復計算の手法が使用されます。</t>
  </si>
  <si>
    <t>DE比率（Debt Equity Ratio: D/E Ratio)</t>
  </si>
  <si>
    <t>累計獲得資金</t>
  </si>
  <si>
    <t>シンジケートローンのエージェントフィー（年間）</t>
  </si>
  <si>
    <t>11月</t>
  </si>
  <si>
    <r>
      <rPr>
        <sz val="10"/>
        <color indexed="8"/>
        <rFont val="ＭＳ Ｐゴシック"/>
        <family val="3"/>
      </rPr>
      <t>定率法の償却率</t>
    </r>
  </si>
  <si>
    <t>【グリーン投資減税・30%特別償却の場合】</t>
  </si>
  <si>
    <r>
      <t>買取単価（円/kWh）</t>
    </r>
    <r>
      <rPr>
        <sz val="10"/>
        <color indexed="10"/>
        <rFont val="ＭＳ Ｐゴシック"/>
        <family val="3"/>
      </rPr>
      <t>税抜き</t>
    </r>
  </si>
  <si>
    <t>償却資産税（固定資産税）</t>
  </si>
  <si>
    <t>シミュレーション条件</t>
  </si>
  <si>
    <t>*固定費：損益計算の固定資産税（土地）に算入。年ごとの費用の一部</t>
  </si>
  <si>
    <t>その他メンテナンスD費用（円）</t>
  </si>
  <si>
    <t>＊NEDO局所風況マップ：500mメッシュデータ</t>
  </si>
  <si>
    <t>FD16-19.2</t>
  </si>
  <si>
    <t>・反復計算を 20 回行っても、適切な解が見つからない場合は、エラー値 #NUM! が返されます。</t>
  </si>
  <si>
    <t>合計</t>
  </si>
  <si>
    <t>税額控除</t>
  </si>
  <si>
    <t>償却資産課税標準</t>
  </si>
  <si>
    <t>14s/m</t>
  </si>
  <si>
    <t>　平らな敷地：0.00 （0%）、開放水域の障害の無い場所：-10.0（マイナス10%）、丘または山地の地形：5.0から15.0（5%から15%）</t>
  </si>
  <si>
    <t>月間予想発電量（平均）（kWh）</t>
  </si>
  <si>
    <t>設置台数（基）</t>
  </si>
  <si>
    <t>パワーカーブグラフ</t>
  </si>
  <si>
    <t>4s/m</t>
  </si>
  <si>
    <t>売電収入</t>
  </si>
  <si>
    <t>9s/m</t>
  </si>
  <si>
    <t>収入</t>
  </si>
  <si>
    <t>2月</t>
  </si>
  <si>
    <t>風速計測装置高さ（m）</t>
  </si>
  <si>
    <t>NEDO70ｍ値</t>
  </si>
  <si>
    <t>その他メンテナンスC費用（円）</t>
  </si>
  <si>
    <t>消費税対応用月決め表</t>
  </si>
  <si>
    <t>・資産の償却方法、税制の適用については、貴社財務担当にご確認下さい。</t>
  </si>
  <si>
    <t>経度(Longitude)</t>
  </si>
  <si>
    <t>５０ｍ</t>
  </si>
  <si>
    <t>＜新定率法による減価償却費の計算式＞</t>
  </si>
  <si>
    <t>※減価償却計算・減価償却率表に対応する</t>
  </si>
  <si>
    <t>消費税（％）</t>
  </si>
  <si>
    <t>最大総出力(kW)</t>
  </si>
  <si>
    <t>買取期間予想発電量(kWh)</t>
  </si>
  <si>
    <t>その他メンテナンスB費用（円）</t>
  </si>
  <si>
    <t>6月</t>
  </si>
  <si>
    <t>電力会社連系費用</t>
  </si>
  <si>
    <t>※減価償却期末残高は、ゼロではなく１残るようにする</t>
  </si>
  <si>
    <t>償却期間（年）</t>
  </si>
  <si>
    <t>年間合計</t>
  </si>
  <si>
    <t>※個人事業主等の対応として入力した数値を表示（4-損益・キャッシュフロー内容：C34セルを式で表示）</t>
  </si>
  <si>
    <t>消費税率</t>
  </si>
  <si>
    <t>・年間予想発電量は、設置場所に最も近いNEDO局所風況マップ500mメッシュデータの年間平均風速とワイブル係数K値を使用し、各メーカのパワーカーブを使用したワイブル分布計算により算出しています。</t>
  </si>
  <si>
    <t>土地取得費用（不動産取得税・売買手数料・登記手数料等）</t>
  </si>
  <si>
    <t>画面入力値</t>
  </si>
  <si>
    <t>12s/m</t>
  </si>
  <si>
    <t>経度</t>
  </si>
  <si>
    <t>その他メンテナンスA費用（円）</t>
  </si>
  <si>
    <t>小型風力発電システム概算費用</t>
  </si>
  <si>
    <t>2s/m</t>
  </si>
  <si>
    <t>事業性評価における評価指標</t>
  </si>
  <si>
    <t>IRR関数</t>
  </si>
  <si>
    <t>7s/m</t>
  </si>
  <si>
    <t>水平軸アップウインド型</t>
  </si>
  <si>
    <t>ローン返済期間（年）</t>
  </si>
  <si>
    <t>NEDO50ｍ値</t>
  </si>
  <si>
    <t>減価償却費　（小型風力発電システム価格の償却）</t>
  </si>
  <si>
    <t>　　DSCR = 元利金返済前キャッシュフロー÷元利金返済額</t>
  </si>
  <si>
    <t>　償却限度額＝改定取得価額×定率法の改定償却率</t>
  </si>
  <si>
    <t>PCSメンテナンス時期（年目）</t>
  </si>
  <si>
    <t>ブレードの長さ（m）</t>
  </si>
  <si>
    <t>CO2排出削減量(CO2-kg)</t>
  </si>
  <si>
    <t>償却保証額</t>
  </si>
  <si>
    <t>除外数値計算用</t>
  </si>
  <si>
    <t>支払利息</t>
  </si>
  <si>
    <t>その他メンテナンスB時期（年目）</t>
  </si>
  <si>
    <t>C）備考</t>
  </si>
  <si>
    <t>B）買取期間予想発電量</t>
  </si>
  <si>
    <t>償却資産税（1.4％）　（固定資産税）</t>
  </si>
  <si>
    <t>年予想発電量</t>
  </si>
  <si>
    <t>累計売電収入額</t>
  </si>
  <si>
    <t>調整前減価償却費</t>
  </si>
  <si>
    <t>PCSメンテナンス費用</t>
  </si>
  <si>
    <t xml:space="preserve">・本シミュレーションの数値は、設定条件を含めた仮定による試算値であり、 実際の金額、発電量、売電収益額、投資回収期間を保証するものではありません。 </t>
  </si>
  <si>
    <t>*反復計算の結果、適切な結果が見つからない場合はエラー値（空白）になります。</t>
  </si>
  <si>
    <t>その他メンテナンスA費用</t>
  </si>
  <si>
    <t>※課税標準が150万円未満となった場合は資産税は非課税（0円）</t>
  </si>
  <si>
    <t>SPCの維持コスト（年間）</t>
  </si>
  <si>
    <t>緯度</t>
  </si>
  <si>
    <t>法人事業税（電気事業）　売電収入（税抜）Ｘ　０．７％</t>
  </si>
  <si>
    <t>日平均予想発電量（kWh）</t>
  </si>
  <si>
    <t>*ウィンドシア指数：デフォルト値0.11。ハブ高さ平均風速値の計算に使用されます。</t>
  </si>
  <si>
    <t>ｼﾐｭﾚｰｼｮﾝ使用値</t>
  </si>
  <si>
    <t>ハブの高さ（m）</t>
  </si>
  <si>
    <t>NEDO局所風況マップデータ</t>
  </si>
  <si>
    <t>*風速計測装置高さ：デフォルト値30m。NEDO局所風況マップ500mメッシュデータ（地上高30m）</t>
  </si>
  <si>
    <t>ハブ高さ平均風速値（m/s）</t>
  </si>
  <si>
    <t>月間予想発電量（月別）（kWh）</t>
  </si>
  <si>
    <t>※買取単価が、57.75円、59.4円、60.5円等、税込み単価の場合には、税抜き単価を逆算します。</t>
  </si>
  <si>
    <t>19s/m</t>
  </si>
  <si>
    <t>累計収益</t>
  </si>
  <si>
    <t>・債務返済能力を表す指標の１つであり、次の式で算出される。</t>
  </si>
  <si>
    <t>IRR（内部利益率）計算表</t>
  </si>
  <si>
    <t>保守管理費用（年間）</t>
  </si>
  <si>
    <t>累計予想発電量</t>
  </si>
  <si>
    <t>・調整前償却額＝期首帳簿価額×定率法の償却率</t>
  </si>
  <si>
    <t>・IRR 関数の計算で推定値を指定する必要はありません。推定値を省略すると、0.1 (10%) が指定されたと見なされます。</t>
  </si>
  <si>
    <t>Shanghai Ghrepower Green Energy</t>
  </si>
  <si>
    <t>乱流係数（％）</t>
  </si>
  <si>
    <t>備考欄コメント（4）</t>
  </si>
  <si>
    <t>改訂償却率</t>
  </si>
  <si>
    <t>12月</t>
  </si>
  <si>
    <t>売電金額（税抜き）</t>
  </si>
  <si>
    <t>２、発電シミュレーション</t>
  </si>
  <si>
    <t>経常利益</t>
  </si>
  <si>
    <t>*設置概算合計費用に含める。初年度その他経費に含める。ローンに含める</t>
  </si>
  <si>
    <t>メーカー型番</t>
  </si>
  <si>
    <r>
      <rPr>
        <sz val="10"/>
        <color indexed="8"/>
        <rFont val="ＭＳ Ｐゴシック"/>
        <family val="3"/>
      </rPr>
      <t>耐用年数
（年）</t>
    </r>
  </si>
  <si>
    <t>CO2排出削減量（買取期間）</t>
  </si>
  <si>
    <t>減価償却資産の耐用年数等に関する省令</t>
  </si>
  <si>
    <t>備考欄コメント（1）</t>
  </si>
  <si>
    <t>年間平均風速（m/s）</t>
  </si>
  <si>
    <t>・この倍率が高い企業、プロジェクトほど元利金支払い能力が高いため、融資のリスクは低くなると考えられる。</t>
  </si>
  <si>
    <t>―</t>
  </si>
  <si>
    <t>・「負債資本倍率」とも呼ばれ企業財務の健全性（安全性）を見る指標の１つ。</t>
  </si>
  <si>
    <t>３０ｍ</t>
  </si>
  <si>
    <t>発電量減衰率</t>
  </si>
  <si>
    <t>月平均予想発電量（kWh）</t>
  </si>
  <si>
    <t>3月</t>
  </si>
  <si>
    <t>最大総出力（kW）</t>
  </si>
  <si>
    <t>その他初期費用</t>
  </si>
  <si>
    <t>課税標準の特例措置（固定資産税）</t>
  </si>
  <si>
    <t>17s/m</t>
  </si>
  <si>
    <t>買取期間予想売電収入（円）</t>
  </si>
  <si>
    <t>結果値</t>
  </si>
  <si>
    <t>設置概算合計費（円）（税込）</t>
  </si>
  <si>
    <r>
      <t>買取単価（円/kWh）</t>
    </r>
    <r>
      <rPr>
        <sz val="11"/>
        <color indexed="10"/>
        <rFont val="ＭＳ Ｐゴシック"/>
        <family val="3"/>
      </rPr>
      <t>税抜き単価</t>
    </r>
  </si>
  <si>
    <t>平成29年度</t>
  </si>
  <si>
    <t>システム概算費用（税込金額：円）</t>
  </si>
  <si>
    <t>税込・税抜き</t>
  </si>
  <si>
    <t>シミュレーション結果</t>
  </si>
  <si>
    <t>7月</t>
  </si>
  <si>
    <t xml:space="preserve">・本事業性評価の指標については、2014年3月環境省総合環境政策局環境経済課作成の「地域における再生可能エネルギー事業の事業性評価等に関する手引き（金融機関向け）～太陽光発電事業編～」（5章）を参考にしています。
</t>
  </si>
  <si>
    <t>ブレードの枚数</t>
  </si>
  <si>
    <t>減衰率</t>
  </si>
  <si>
    <t>※課税標準の特例措置　なし：0、有り：1とする</t>
  </si>
  <si>
    <t>秋田県山本郡三種町浜田大平</t>
  </si>
  <si>
    <t>グリーン投資減税・生産性向上設備投資促進税制対応</t>
  </si>
  <si>
    <t>※発電予定月に合わせて、予想発電量、売電金額、消費税額が変わります。</t>
  </si>
  <si>
    <t>開始月決め</t>
  </si>
  <si>
    <t>１、小型風力発電システム設置内容</t>
  </si>
  <si>
    <t>経常利益合計確認用</t>
  </si>
  <si>
    <t>消費税</t>
  </si>
  <si>
    <t>2021年度版</t>
  </si>
  <si>
    <t>その他メンテナンスC時期（年目）</t>
  </si>
  <si>
    <t>※減価償却費が償却保証額より小さくなった場合は、改訂償却率値を使用し以降は定額</t>
  </si>
  <si>
    <t>　DE比率＝借入資金÷自己資金</t>
  </si>
  <si>
    <t>営業利益</t>
  </si>
  <si>
    <t>電気的構成（TRUE、FALSE）</t>
  </si>
  <si>
    <t>融資等元金（円）</t>
  </si>
  <si>
    <t>10s/m</t>
  </si>
  <si>
    <t>※減価償却費合計は、設置概算費用（税込み）-1の値になる</t>
  </si>
  <si>
    <t>(1)小型風力発電システム</t>
  </si>
  <si>
    <t>経費等支出総計</t>
  </si>
  <si>
    <t>15s/m</t>
  </si>
  <si>
    <t>緯度(Latitude)</t>
  </si>
  <si>
    <t>・調整前償却額≧償却保証額ならば、</t>
  </si>
  <si>
    <t>5s/m</t>
  </si>
  <si>
    <t>NEDO30ｍ値</t>
  </si>
  <si>
    <t>減衰率（％）</t>
  </si>
  <si>
    <t>・償却保証額＝取得価額×定率法の保証率</t>
  </si>
  <si>
    <t>IRR（Internal Rate of Return：内部利益率）</t>
  </si>
  <si>
    <t>保険料（年間）</t>
  </si>
  <si>
    <t>販管費（年間）</t>
  </si>
  <si>
    <t>予想売電収入グラフ（税込）</t>
  </si>
  <si>
    <t>固定資産税（土地）（年間）</t>
  </si>
  <si>
    <t>パワー係数（Cp）</t>
  </si>
  <si>
    <t>売電金額（税込）</t>
  </si>
  <si>
    <t>ウィンドシア指数</t>
  </si>
  <si>
    <t>法人税等税率</t>
  </si>
  <si>
    <t>設置台数</t>
  </si>
  <si>
    <t>※設置費用は消費税込数字を使用</t>
  </si>
  <si>
    <t>DSCR(Debt Service Coverage Ratio：元利返済金カバー率)</t>
  </si>
  <si>
    <t>地上高</t>
  </si>
  <si>
    <t>メーカー名</t>
  </si>
  <si>
    <t>調整前減価償却期末残高</t>
  </si>
  <si>
    <t>基</t>
  </si>
  <si>
    <r>
      <rPr>
        <sz val="10"/>
        <color indexed="8"/>
        <rFont val="ＭＳ Ｐゴシック"/>
        <family val="3"/>
      </rPr>
      <t>改定償却率</t>
    </r>
  </si>
  <si>
    <t>※1の場合：元金均等計算、2の場合：元利均等計算としてloan_calc2に計算</t>
  </si>
  <si>
    <t>減価償却期末残高</t>
  </si>
  <si>
    <t>平成24年4月1日以後に取得した減価償却資産に適用される減価償却費の計算</t>
  </si>
  <si>
    <t>・資金のうち負債（Debt）が株主資本（Equity）の何倍にあたるかを示す数値（倍率）</t>
  </si>
  <si>
    <t>累積収入グラフ</t>
  </si>
  <si>
    <r>
      <rPr>
        <sz val="10"/>
        <color indexed="8"/>
        <rFont val="ＭＳ Ｐゴシック"/>
        <family val="3"/>
      </rPr>
      <t>保証率</t>
    </r>
  </si>
  <si>
    <t>予想発電量（減衰率込）</t>
  </si>
  <si>
    <t>売電</t>
  </si>
  <si>
    <t>8％税込み</t>
  </si>
  <si>
    <t>13s/m</t>
  </si>
  <si>
    <t>買取期間総発電量</t>
  </si>
  <si>
    <t>10％税込み</t>
  </si>
  <si>
    <t>※（円）税込</t>
  </si>
  <si>
    <t>土地取得、土地造成、連系費用、その他初期費用</t>
  </si>
  <si>
    <t>3s/m</t>
  </si>
  <si>
    <t>*設置概算合計費用に含める。ローンに含める</t>
  </si>
  <si>
    <t>←4、5を追加</t>
  </si>
  <si>
    <t>*補助金含めた、設置概算合計費（税込）：初期費用</t>
  </si>
  <si>
    <t>減価償却率</t>
  </si>
  <si>
    <t>8s/m</t>
  </si>
  <si>
    <t>法人事業税（電気事業）</t>
  </si>
  <si>
    <t>定格出力（kW）</t>
  </si>
  <si>
    <t>保証率</t>
  </si>
  <si>
    <t>償却年数（年）</t>
  </si>
  <si>
    <t>風車の面積（m2）</t>
  </si>
  <si>
    <t>A）設置場所情報</t>
  </si>
  <si>
    <t>キャッシュフローに法人税を含める</t>
  </si>
  <si>
    <t>その他損失係数（％）</t>
  </si>
  <si>
    <t>カットアウト風力（m/s）</t>
  </si>
  <si>
    <t>電気代（年間）</t>
  </si>
  <si>
    <t>＜評価指標＞</t>
  </si>
  <si>
    <t>ハブ高さ（m）</t>
  </si>
  <si>
    <t>ワイブル係数C値</t>
  </si>
  <si>
    <t>・年間の元利返済に対する年間の純収益の割合を数字で表したもの。</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</si>
</sst>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0_ "/>
    <numFmt numFmtId="186" formatCode="0.000_ "/>
    <numFmt numFmtId="187" formatCode="0&quot;年目&quot;"/>
    <numFmt numFmtId="188" formatCode="#,##0.0;[Red]\-#,##0.0"/>
    <numFmt numFmtId="189" formatCode="#,##0.000;[Red]\-#,##0.000"/>
    <numFmt numFmtId="190" formatCode="0.00000_ "/>
    <numFmt numFmtId="191" formatCode="0.0000_ "/>
    <numFmt numFmtId="192" formatCode="0_ "/>
    <numFmt numFmtId="193" formatCode="#,##0.0000;[Red]\-#,##0.0000"/>
    <numFmt numFmtId="194" formatCode="0.0%"/>
    <numFmt numFmtId="195" formatCode="0.000000000_ "/>
    <numFmt numFmtId="196" formatCode="0.0000000000_ "/>
    <numFmt numFmtId="197" formatCode="0.00000000_ "/>
    <numFmt numFmtId="198" formatCode="0.0000000_ "/>
    <numFmt numFmtId="199" formatCode="#,##0_);[Red]\(#,##0\)"/>
    <numFmt numFmtId="200" formatCode="&quot;¥&quot;#,##0.000;[Red]&quot;¥&quot;\-#,##0.000"/>
    <numFmt numFmtId="201" formatCode="&quot;¥&quot;#,##0.0;[Red]&quot;¥&quot;\-#,##0.0"/>
    <numFmt numFmtId="202" formatCode="&quot;Yes&quot;;&quot;Yes&quot;;&quot;No&quot;"/>
    <numFmt numFmtId="203" formatCode="&quot;True&quot;;&quot;True&quot;;&quot;False&quot;"/>
    <numFmt numFmtId="204" formatCode="&quot;On&quot;;&quot;On&quot;;&quot;Off&quot;"/>
    <numFmt numFmtId="205" formatCode="[$€-2]\ #,##0.00_);[Red]\([$€-2]\ #,##0.00\)"/>
    <numFmt numFmtId="206" formatCode="#,##0.00_ "/>
    <numFmt numFmtId="207" formatCode="#,##0.00_ ;[Red]\-#,##0.00\ "/>
    <numFmt numFmtId="208" formatCode="yyyy/mm"/>
    <numFmt numFmtId="209" formatCode="0&quot;月&quot;"/>
    <numFmt numFmtId="210" formatCode="m&quot;月&quot;"/>
    <numFmt numFmtId="211" formatCode="#,##0.00000;[Red]\-#,##0.00000"/>
    <numFmt numFmtId="212" formatCode="0.000000_ "/>
    <numFmt numFmtId="213" formatCode="0\ &quot;s/m&quot;"/>
    <numFmt numFmtId="214" formatCode="#,##0.000000;[Red]\-#,##0.000000"/>
    <numFmt numFmtId="215" formatCode="#,##0.0000000;[Red]\-#,##0.0000000"/>
    <numFmt numFmtId="216" formatCode="0.000"/>
    <numFmt numFmtId="217" formatCode="0.0000"/>
    <numFmt numFmtId="218" formatCode="0.00000"/>
    <numFmt numFmtId="219" formatCode="[$]ggge&quot;年&quot;m&quot;月&quot;d&quot;日&quot;;@"/>
    <numFmt numFmtId="220" formatCode="[$-411]gge&quot;年&quot;m&quot;月&quot;d&quot;日&quot;;@"/>
    <numFmt numFmtId="221" formatCode="[$]gge&quot;年&quot;m&quot;月&quot;d&quot;日&quot;;@"/>
  </numFmts>
  <fonts count="70">
    <font>
      <sz val="10"/>
      <color theme="1"/>
      <name val="Calibri"/>
      <family val="3"/>
    </font>
    <font>
      <sz val="10"/>
      <name val="Calibri"/>
      <family val="2"/>
    </font>
    <font>
      <sz val="11"/>
      <name val="ＭＳ Ｐゴシック"/>
      <family val="3"/>
    </font>
    <font>
      <sz val="12"/>
      <color indexed="8"/>
      <name val="ＭＳ Ｐゴシック"/>
      <family val="3"/>
    </font>
    <font>
      <sz val="6.5"/>
      <color indexed="8"/>
      <name val="ＭＳ Ｐゴシック"/>
      <family val="3"/>
    </font>
    <font>
      <sz val="10"/>
      <color indexed="8"/>
      <name val="ＭＳ Ｐゴシック"/>
      <family val="3"/>
    </font>
    <font>
      <sz val="10"/>
      <color indexed="10"/>
      <name val="ＭＳ Ｐゴシック"/>
      <family val="3"/>
    </font>
    <font>
      <b/>
      <sz val="11"/>
      <color indexed="10"/>
      <name val="ＭＳ Ｐゴシック"/>
      <family val="3"/>
    </font>
    <font>
      <sz val="10"/>
      <name val="ＭＳ Ｐゴシック"/>
      <family val="3"/>
    </font>
    <font>
      <b/>
      <sz val="12"/>
      <color indexed="8"/>
      <name val="ＭＳ Ｐゴシック"/>
      <family val="3"/>
    </font>
    <font>
      <b/>
      <sz val="9"/>
      <name val="ＭＳ Ｐゴシック"/>
      <family val="3"/>
    </font>
    <font>
      <sz val="11"/>
      <color indexed="8"/>
      <name val="Arial"/>
      <family val="2"/>
    </font>
    <font>
      <sz val="7.5"/>
      <color indexed="8"/>
      <name val="ＭＳ Ｐゴシック"/>
      <family val="3"/>
    </font>
    <font>
      <sz val="11"/>
      <color indexed="8"/>
      <name val="ＭＳ Ｐゴシック"/>
      <family val="3"/>
    </font>
    <font>
      <b/>
      <sz val="18"/>
      <color indexed="8"/>
      <name val="ＭＳ Ｐゴシック"/>
      <family val="3"/>
    </font>
    <font>
      <b/>
      <sz val="16"/>
      <color indexed="8"/>
      <name val="ＭＳ Ｐゴシック"/>
      <family val="3"/>
    </font>
    <font>
      <sz val="9"/>
      <color indexed="8"/>
      <name val="ＭＳ Ｐゴシック"/>
      <family val="3"/>
    </font>
    <font>
      <b/>
      <sz val="14"/>
      <color indexed="8"/>
      <name val="ＭＳ Ｐゴシック"/>
      <family val="3"/>
    </font>
    <font>
      <sz val="9"/>
      <name val="ＭＳ Ｐゴシック"/>
      <family val="3"/>
    </font>
    <font>
      <sz val="11"/>
      <color indexed="8"/>
      <name val="ＭＳ ゴシック"/>
      <family val="3"/>
    </font>
    <font>
      <b/>
      <sz val="11"/>
      <color indexed="8"/>
      <name val="ＭＳ Ｐゴシック"/>
      <family val="3"/>
    </font>
    <font>
      <b/>
      <sz val="24"/>
      <color indexed="8"/>
      <name val="ＭＳ Ｐゴシック"/>
      <family val="3"/>
    </font>
    <font>
      <b/>
      <sz val="20"/>
      <color indexed="8"/>
      <name val="ＭＳ Ｐゴシック"/>
      <family val="3"/>
    </font>
    <font>
      <sz val="10"/>
      <color indexed="8"/>
      <name val="Arial"/>
      <family val="2"/>
    </font>
    <font>
      <sz val="11"/>
      <color indexed="10"/>
      <name val="ＭＳ Ｐゴシック"/>
      <family val="3"/>
    </font>
    <font>
      <sz val="10"/>
      <color indexed="8"/>
      <name val="游ゴシック"/>
      <family val="3"/>
    </font>
    <font>
      <sz val="10"/>
      <color indexed="9"/>
      <name val="游ゴシック"/>
      <family val="3"/>
    </font>
    <font>
      <sz val="10"/>
      <color indexed="20"/>
      <name val="游ゴシック"/>
      <family val="3"/>
    </font>
    <font>
      <sz val="10"/>
      <color indexed="10"/>
      <name val="游ゴシック"/>
      <family val="3"/>
    </font>
    <font>
      <b/>
      <sz val="13"/>
      <color indexed="54"/>
      <name val="游ゴシック"/>
      <family val="3"/>
    </font>
    <font>
      <b/>
      <sz val="18"/>
      <color indexed="54"/>
      <name val="游ゴシック Light"/>
      <family val="3"/>
    </font>
    <font>
      <b/>
      <sz val="10"/>
      <color indexed="63"/>
      <name val="游ゴシック"/>
      <family val="3"/>
    </font>
    <font>
      <b/>
      <sz val="10"/>
      <color indexed="9"/>
      <name val="游ゴシック"/>
      <family val="3"/>
    </font>
    <font>
      <sz val="10"/>
      <color indexed="52"/>
      <name val="游ゴシック"/>
      <family val="3"/>
    </font>
    <font>
      <u val="single"/>
      <sz val="10"/>
      <color indexed="25"/>
      <name val="ＭＳ Ｐゴシック"/>
      <family val="3"/>
    </font>
    <font>
      <sz val="12"/>
      <color indexed="8"/>
      <name val="游ゴシック"/>
      <family val="3"/>
    </font>
    <font>
      <u val="single"/>
      <sz val="10"/>
      <color indexed="30"/>
      <name val="ＭＳ Ｐゴシック"/>
      <family val="3"/>
    </font>
    <font>
      <sz val="10"/>
      <color indexed="62"/>
      <name val="游ゴシック"/>
      <family val="3"/>
    </font>
    <font>
      <b/>
      <sz val="11"/>
      <color indexed="54"/>
      <name val="游ゴシック"/>
      <family val="3"/>
    </font>
    <font>
      <b/>
      <sz val="10"/>
      <color indexed="8"/>
      <name val="游ゴシック"/>
      <family val="3"/>
    </font>
    <font>
      <sz val="10"/>
      <color indexed="60"/>
      <name val="游ゴシック"/>
      <family val="3"/>
    </font>
    <font>
      <b/>
      <sz val="10"/>
      <color indexed="52"/>
      <name val="游ゴシック"/>
      <family val="3"/>
    </font>
    <font>
      <b/>
      <sz val="15"/>
      <color indexed="54"/>
      <name val="游ゴシック"/>
      <family val="3"/>
    </font>
    <font>
      <sz val="10"/>
      <color indexed="17"/>
      <name val="游ゴシック"/>
      <family val="3"/>
    </font>
    <font>
      <sz val="11"/>
      <color indexed="8"/>
      <name val="游ゴシック"/>
      <family val="3"/>
    </font>
    <font>
      <i/>
      <sz val="10"/>
      <color indexed="23"/>
      <name val="游ゴシック"/>
      <family val="3"/>
    </font>
    <font>
      <sz val="10"/>
      <name val="游ゴシック"/>
      <family val="3"/>
    </font>
    <font>
      <sz val="6"/>
      <name val="游ゴシック"/>
      <family val="3"/>
    </font>
    <font>
      <sz val="10"/>
      <color theme="0"/>
      <name val="Calibri"/>
      <family val="3"/>
    </font>
    <font>
      <b/>
      <sz val="18"/>
      <color theme="3"/>
      <name val="Calibri Light"/>
      <family val="3"/>
    </font>
    <font>
      <b/>
      <sz val="10"/>
      <color theme="0"/>
      <name val="Calibri"/>
      <family val="3"/>
    </font>
    <font>
      <sz val="10"/>
      <color rgb="FF9C6500"/>
      <name val="Calibri"/>
      <family val="3"/>
    </font>
    <font>
      <u val="single"/>
      <sz val="10"/>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2"/>
      <color theme="1"/>
      <name val="Calibri"/>
      <family val="3"/>
    </font>
    <font>
      <u val="single"/>
      <sz val="10"/>
      <color theme="11"/>
      <name val="ＭＳ Ｐゴシック"/>
      <family val="3"/>
    </font>
    <font>
      <sz val="10"/>
      <color rgb="FF006100"/>
      <name val="Calibri"/>
      <family val="3"/>
    </font>
    <font>
      <sz val="11"/>
      <color rgb="FFFF0000"/>
      <name val="ＭＳ Ｐゴシック"/>
      <family val="3"/>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15"/>
        <bgColor indexed="64"/>
      </patternFill>
    </fill>
    <fill>
      <patternFill patternType="solid">
        <fgColor rgb="FF00FF00"/>
        <bgColor indexed="64"/>
      </patternFill>
    </fill>
    <fill>
      <patternFill patternType="solid">
        <fgColor rgb="FFCCFFCC"/>
        <bgColor indexed="64"/>
      </patternFill>
    </fill>
    <fill>
      <patternFill patternType="solid">
        <fgColor indexed="2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thin"/>
      <top style="thin">
        <color indexed="22"/>
      </top>
      <bottom style="thin">
        <color indexed="22"/>
      </bottom>
    </border>
    <border>
      <left style="thin"/>
      <right>
        <color indexed="63"/>
      </right>
      <top style="thin"/>
      <bottom style="thin"/>
    </border>
    <border>
      <left style="medium"/>
      <right style="thin"/>
      <top>
        <color indexed="63"/>
      </top>
      <bottom style="thin">
        <color indexed="2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color indexed="63"/>
      </bottom>
    </border>
    <border>
      <left style="thin"/>
      <right style="medium"/>
      <top>
        <color indexed="63"/>
      </top>
      <bottom style="thin">
        <color indexed="22"/>
      </bottom>
    </border>
    <border>
      <left style="thin"/>
      <right style="medium"/>
      <top style="thin">
        <color indexed="22"/>
      </top>
      <bottom style="thin">
        <color indexed="22"/>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thin"/>
      <top style="thin">
        <color indexed="22"/>
      </top>
      <bottom style="medium"/>
    </border>
    <border>
      <left style="thin"/>
      <right style="thin"/>
      <top>
        <color indexed="63"/>
      </top>
      <bottom style="thin">
        <color indexed="22"/>
      </bottom>
    </border>
    <border>
      <left style="thin"/>
      <right style="medium"/>
      <top style="thin">
        <color indexed="22"/>
      </top>
      <bottom style="medium"/>
    </border>
    <border>
      <left style="thin"/>
      <right style="thin"/>
      <top style="thin">
        <color indexed="22"/>
      </top>
      <bottom style="medium"/>
    </border>
    <border>
      <left style="medium"/>
      <right style="thin"/>
      <top style="thin">
        <color indexed="22"/>
      </top>
      <bottom style="thin">
        <color indexed="22"/>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double"/>
    </border>
    <border>
      <left style="thin"/>
      <right style="thin"/>
      <top style="thin"/>
      <bottom style="thin"/>
    </border>
    <border>
      <left style="thin"/>
      <right style="medium"/>
      <top style="thin"/>
      <bottom style="thin">
        <color indexed="22"/>
      </bottom>
    </border>
    <border>
      <left style="thin"/>
      <right style="medium"/>
      <top style="thin">
        <color indexed="22"/>
      </top>
      <bottom style="thin"/>
    </border>
    <border>
      <left style="medium"/>
      <right style="thin"/>
      <top style="thin"/>
      <bottom style="thin">
        <color indexed="22"/>
      </bottom>
    </border>
    <border>
      <left style="medium"/>
      <right style="thin"/>
      <top style="thin">
        <color indexed="22"/>
      </top>
      <bottom style="thin"/>
    </border>
    <border>
      <left style="thin"/>
      <right style="thin"/>
      <top style="thin"/>
      <bottom style="thin">
        <color indexed="22"/>
      </bottom>
    </border>
    <border>
      <left style="thin"/>
      <right style="thin"/>
      <top style="thin">
        <color indexed="22"/>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0" fontId="52" fillId="0" borderId="0" applyNumberFormat="0" applyFill="0" applyBorder="0" applyAlignment="0" applyProtection="0"/>
    <xf numFmtId="0" fontId="5"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38" fontId="13" fillId="0" borderId="0" applyFont="0" applyFill="0" applyBorder="0" applyAlignment="0" applyProtection="0"/>
    <xf numFmtId="38" fontId="3"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0" fontId="63" fillId="30" borderId="4" applyNumberFormat="0" applyAlignment="0" applyProtection="0"/>
    <xf numFmtId="0" fontId="64" fillId="0" borderId="0">
      <alignment vertical="center"/>
      <protection/>
    </xf>
    <xf numFmtId="0" fontId="64" fillId="0" borderId="0">
      <alignment vertical="center"/>
      <protection/>
    </xf>
    <xf numFmtId="0" fontId="65" fillId="0" borderId="0">
      <alignment/>
      <protection/>
    </xf>
    <xf numFmtId="0" fontId="66" fillId="0" borderId="0" applyNumberFormat="0" applyFill="0" applyBorder="0" applyAlignment="0" applyProtection="0"/>
    <xf numFmtId="0" fontId="67" fillId="31" borderId="0" applyNumberFormat="0" applyBorder="0" applyAlignment="0" applyProtection="0"/>
  </cellStyleXfs>
  <cellXfs count="301">
    <xf numFmtId="0" fontId="0" fillId="0" borderId="0" xfId="0" applyFont="1" applyAlignment="1">
      <alignment vertical="center"/>
    </xf>
    <xf numFmtId="189" fontId="13" fillId="0" borderId="0" xfId="53" applyNumberFormat="1" applyFont="1" applyAlignment="1">
      <alignment vertical="center"/>
    </xf>
    <xf numFmtId="38" fontId="24" fillId="0" borderId="0" xfId="0" applyNumberFormat="1" applyFont="1" applyFill="1" applyAlignment="1">
      <alignment vertical="center"/>
    </xf>
    <xf numFmtId="208" fontId="0" fillId="0" borderId="0" xfId="0" applyNumberFormat="1" applyAlignment="1">
      <alignment vertical="center"/>
    </xf>
    <xf numFmtId="0" fontId="11" fillId="0" borderId="0" xfId="66" applyFont="1">
      <alignment vertical="center"/>
      <protection/>
    </xf>
    <xf numFmtId="0" fontId="13" fillId="0" borderId="0" xfId="0" applyFont="1" applyBorder="1" applyAlignment="1">
      <alignment horizontal="right" vertical="center"/>
    </xf>
    <xf numFmtId="209" fontId="0" fillId="0" borderId="0" xfId="0" applyNumberFormat="1" applyAlignment="1">
      <alignment vertical="center"/>
    </xf>
    <xf numFmtId="0" fontId="0" fillId="0" borderId="10" xfId="0" applyFill="1" applyBorder="1" applyAlignment="1">
      <alignment vertical="center"/>
    </xf>
    <xf numFmtId="38" fontId="2" fillId="0" borderId="0" xfId="51" applyFont="1" applyFill="1" applyAlignment="1">
      <alignment vertical="center"/>
    </xf>
    <xf numFmtId="0" fontId="13" fillId="0" borderId="10" xfId="0" applyFont="1" applyFill="1" applyBorder="1" applyAlignment="1">
      <alignment vertical="center"/>
    </xf>
    <xf numFmtId="0" fontId="0" fillId="0" borderId="11" xfId="0" applyFill="1" applyBorder="1" applyAlignment="1">
      <alignment vertical="center"/>
    </xf>
    <xf numFmtId="38" fontId="13" fillId="0" borderId="12" xfId="53" applyFont="1" applyFill="1" applyBorder="1" applyAlignment="1">
      <alignment vertical="center"/>
    </xf>
    <xf numFmtId="0" fontId="64" fillId="0" borderId="0" xfId="66" applyBorder="1" applyAlignment="1">
      <alignment horizontal="right" vertical="center"/>
      <protection/>
    </xf>
    <xf numFmtId="0" fontId="13" fillId="0" borderId="0" xfId="0" applyFont="1" applyFill="1" applyAlignment="1">
      <alignment vertical="center" wrapText="1"/>
    </xf>
    <xf numFmtId="38" fontId="13" fillId="0" borderId="0" xfId="51" applyFont="1" applyFill="1" applyBorder="1" applyAlignment="1">
      <alignment vertical="center"/>
    </xf>
    <xf numFmtId="38" fontId="64" fillId="0" borderId="13" xfId="66" applyNumberFormat="1" applyBorder="1">
      <alignment vertical="center"/>
      <protection/>
    </xf>
    <xf numFmtId="187" fontId="13" fillId="32" borderId="0" xfId="0" applyNumberFormat="1" applyFont="1" applyFill="1" applyAlignment="1">
      <alignment vertical="center"/>
    </xf>
    <xf numFmtId="0" fontId="13" fillId="33" borderId="0" xfId="53" applyNumberFormat="1" applyFont="1" applyFill="1" applyAlignment="1">
      <alignment horizontal="right" vertical="center"/>
    </xf>
    <xf numFmtId="0" fontId="64" fillId="0" borderId="14" xfId="66" applyBorder="1">
      <alignment vertical="center"/>
      <protection/>
    </xf>
    <xf numFmtId="208" fontId="0" fillId="0" borderId="0" xfId="0" applyNumberFormat="1" applyFill="1" applyBorder="1" applyAlignment="1">
      <alignment vertical="center"/>
    </xf>
    <xf numFmtId="14" fontId="0" fillId="0" borderId="0" xfId="0" applyNumberFormat="1" applyAlignment="1">
      <alignment vertical="center"/>
    </xf>
    <xf numFmtId="38" fontId="2" fillId="0" borderId="0" xfId="0" applyNumberFormat="1" applyFont="1" applyFill="1" applyBorder="1" applyAlignment="1">
      <alignment vertical="center"/>
    </xf>
    <xf numFmtId="0" fontId="2" fillId="0" borderId="0" xfId="0" applyFont="1" applyFill="1" applyAlignment="1">
      <alignment vertical="center"/>
    </xf>
    <xf numFmtId="0" fontId="0" fillId="0" borderId="0" xfId="0" applyFill="1" applyBorder="1" applyAlignment="1">
      <alignment vertical="center"/>
    </xf>
    <xf numFmtId="189" fontId="23" fillId="0" borderId="15" xfId="53" applyNumberFormat="1" applyFont="1" applyBorder="1" applyAlignment="1">
      <alignment vertical="center" wrapText="1"/>
    </xf>
    <xf numFmtId="0" fontId="7" fillId="0" borderId="0" xfId="0" applyFont="1" applyAlignment="1">
      <alignment vertical="center"/>
    </xf>
    <xf numFmtId="38" fontId="13" fillId="0" borderId="0" xfId="53" applyFont="1" applyBorder="1" applyAlignment="1">
      <alignment vertical="center"/>
    </xf>
    <xf numFmtId="38" fontId="13" fillId="0" borderId="16" xfId="51" applyFont="1" applyFill="1" applyBorder="1" applyAlignment="1">
      <alignment vertical="center"/>
    </xf>
    <xf numFmtId="0" fontId="64" fillId="0" borderId="0" xfId="66" applyBorder="1" applyAlignment="1">
      <alignment horizontal="center" vertical="center"/>
      <protection/>
    </xf>
    <xf numFmtId="0" fontId="13" fillId="0" borderId="0" xfId="0" applyFont="1" applyFill="1" applyBorder="1" applyAlignment="1">
      <alignment vertical="center"/>
    </xf>
    <xf numFmtId="0" fontId="64" fillId="0" borderId="13" xfId="66" applyFill="1" applyBorder="1">
      <alignment vertical="center"/>
      <protection/>
    </xf>
    <xf numFmtId="0" fontId="23" fillId="0" borderId="17" xfId="66" applyFont="1" applyBorder="1" applyAlignment="1">
      <alignment vertical="center" wrapText="1"/>
      <protection/>
    </xf>
    <xf numFmtId="0" fontId="13" fillId="0" borderId="18" xfId="0" applyFont="1" applyFill="1" applyBorder="1" applyAlignment="1">
      <alignment vertical="center"/>
    </xf>
    <xf numFmtId="184" fontId="13" fillId="0" borderId="0" xfId="0" applyNumberFormat="1" applyFont="1" applyFill="1" applyAlignment="1">
      <alignment vertical="center"/>
    </xf>
    <xf numFmtId="38" fontId="13" fillId="0" borderId="12" xfId="51" applyFont="1" applyFill="1" applyBorder="1" applyAlignment="1">
      <alignment vertical="center"/>
    </xf>
    <xf numFmtId="0" fontId="13" fillId="0" borderId="16" xfId="0" applyFont="1" applyFill="1" applyBorder="1" applyAlignment="1">
      <alignment vertical="center"/>
    </xf>
    <xf numFmtId="0" fontId="64" fillId="0" borderId="19" xfId="66" applyBorder="1">
      <alignment vertical="center"/>
      <protection/>
    </xf>
    <xf numFmtId="0" fontId="13" fillId="33" borderId="0" xfId="0" applyFont="1" applyFill="1" applyAlignment="1">
      <alignment vertical="center"/>
    </xf>
    <xf numFmtId="0" fontId="64" fillId="0" borderId="18" xfId="66" applyFill="1" applyBorder="1">
      <alignment vertical="center"/>
      <protection/>
    </xf>
    <xf numFmtId="0" fontId="22" fillId="4" borderId="20" xfId="0" applyFont="1" applyFill="1" applyBorder="1" applyAlignment="1">
      <alignment vertical="center"/>
    </xf>
    <xf numFmtId="0" fontId="13" fillId="0" borderId="12" xfId="0" applyFont="1" applyFill="1" applyBorder="1" applyAlignment="1">
      <alignment vertical="center"/>
    </xf>
    <xf numFmtId="0" fontId="0" fillId="0" borderId="0" xfId="0" applyNumberFormat="1" applyFill="1" applyAlignment="1">
      <alignment vertical="center"/>
    </xf>
    <xf numFmtId="38" fontId="13" fillId="0" borderId="0" xfId="51" applyFont="1" applyBorder="1" applyAlignment="1">
      <alignment vertical="center"/>
    </xf>
    <xf numFmtId="188" fontId="13" fillId="0" borderId="0" xfId="51" applyNumberFormat="1" applyFont="1" applyFill="1" applyAlignment="1">
      <alignment vertical="center"/>
    </xf>
    <xf numFmtId="38" fontId="13" fillId="0" borderId="10" xfId="53" applyFont="1" applyFill="1" applyBorder="1" applyAlignment="1">
      <alignment horizontal="center" vertical="center"/>
    </xf>
    <xf numFmtId="0" fontId="64" fillId="0" borderId="21" xfId="66" applyBorder="1">
      <alignment vertical="center"/>
      <protection/>
    </xf>
    <xf numFmtId="0" fontId="1" fillId="0" borderId="0" xfId="0" applyNumberFormat="1" applyFont="1" applyFill="1" applyAlignment="1">
      <alignment vertical="center"/>
    </xf>
    <xf numFmtId="0" fontId="13" fillId="0" borderId="0" xfId="0" applyFont="1" applyBorder="1" applyAlignment="1">
      <alignment vertical="center"/>
    </xf>
    <xf numFmtId="186" fontId="13" fillId="0" borderId="0" xfId="0" applyNumberFormat="1" applyFont="1" applyAlignment="1">
      <alignment vertical="center"/>
    </xf>
    <xf numFmtId="14" fontId="0" fillId="0" borderId="0" xfId="0" applyNumberFormat="1" applyFill="1" applyAlignment="1">
      <alignment horizontal="center" vertical="center"/>
    </xf>
    <xf numFmtId="40" fontId="0" fillId="0" borderId="0" xfId="0" applyNumberFormat="1" applyFill="1" applyAlignment="1">
      <alignment vertical="center"/>
    </xf>
    <xf numFmtId="0" fontId="13" fillId="10" borderId="0" xfId="0" applyFont="1" applyFill="1" applyAlignment="1">
      <alignment vertical="center"/>
    </xf>
    <xf numFmtId="38" fontId="13" fillId="0" borderId="13" xfId="53" applyFont="1" applyBorder="1" applyAlignment="1">
      <alignment vertical="center"/>
    </xf>
    <xf numFmtId="0" fontId="13" fillId="0" borderId="16" xfId="0" applyFont="1" applyBorder="1" applyAlignment="1">
      <alignment vertical="center"/>
    </xf>
    <xf numFmtId="187" fontId="64" fillId="0" borderId="0" xfId="66" applyNumberFormat="1" applyBorder="1">
      <alignment vertical="center"/>
      <protection/>
    </xf>
    <xf numFmtId="189" fontId="13" fillId="0" borderId="10" xfId="51" applyNumberFormat="1" applyFont="1" applyFill="1" applyBorder="1" applyAlignment="1">
      <alignment vertical="center"/>
    </xf>
    <xf numFmtId="38" fontId="64" fillId="0" borderId="0" xfId="66" applyNumberFormat="1" applyBorder="1">
      <alignment vertical="center"/>
      <protection/>
    </xf>
    <xf numFmtId="0" fontId="64" fillId="0" borderId="0" xfId="66">
      <alignment vertical="center"/>
      <protection/>
    </xf>
    <xf numFmtId="0" fontId="24" fillId="0" borderId="0" xfId="0" applyFont="1" applyAlignment="1">
      <alignment vertical="center"/>
    </xf>
    <xf numFmtId="38" fontId="13" fillId="0" borderId="10" xfId="51" applyFont="1" applyFill="1" applyBorder="1" applyAlignment="1">
      <alignment horizontal="center" vertical="center"/>
    </xf>
    <xf numFmtId="211" fontId="23" fillId="0" borderId="22" xfId="53" applyNumberFormat="1" applyFont="1" applyBorder="1" applyAlignment="1">
      <alignment vertical="center" wrapText="1"/>
    </xf>
    <xf numFmtId="0" fontId="13" fillId="0" borderId="12" xfId="0" applyFont="1" applyBorder="1" applyAlignment="1">
      <alignment vertical="center"/>
    </xf>
    <xf numFmtId="0" fontId="64" fillId="0" borderId="11" xfId="66" applyFill="1" applyBorder="1">
      <alignment vertical="center"/>
      <protection/>
    </xf>
    <xf numFmtId="0" fontId="2" fillId="0" borderId="0" xfId="66" applyFont="1" applyFill="1" applyBorder="1">
      <alignment vertical="center"/>
      <protection/>
    </xf>
    <xf numFmtId="0" fontId="0" fillId="0" borderId="10" xfId="0" applyBorder="1" applyAlignment="1">
      <alignment vertical="center"/>
    </xf>
    <xf numFmtId="189" fontId="13" fillId="0" borderId="0" xfId="0" applyNumberFormat="1" applyFont="1" applyAlignment="1">
      <alignment vertical="center"/>
    </xf>
    <xf numFmtId="0" fontId="64" fillId="0" borderId="0" xfId="66" applyFill="1" applyBorder="1">
      <alignment vertical="center"/>
      <protection/>
    </xf>
    <xf numFmtId="0" fontId="24" fillId="0" borderId="0" xfId="0" applyFont="1" applyFill="1" applyBorder="1" applyAlignment="1">
      <alignment vertical="center"/>
    </xf>
    <xf numFmtId="0" fontId="13" fillId="0" borderId="10" xfId="0" applyFont="1" applyBorder="1" applyAlignment="1">
      <alignment vertical="center"/>
    </xf>
    <xf numFmtId="38" fontId="13" fillId="0" borderId="0" xfId="51" applyFont="1" applyFill="1" applyBorder="1" applyAlignment="1">
      <alignment horizontal="center" vertical="center"/>
    </xf>
    <xf numFmtId="40" fontId="2" fillId="0" borderId="0" xfId="51" applyNumberFormat="1" applyFont="1" applyFill="1" applyAlignment="1">
      <alignment vertical="center"/>
    </xf>
    <xf numFmtId="0" fontId="2" fillId="34" borderId="0" xfId="0" applyFont="1" applyFill="1" applyAlignment="1">
      <alignment vertical="center"/>
    </xf>
    <xf numFmtId="38" fontId="13" fillId="0" borderId="0" xfId="51" applyFont="1" applyBorder="1" applyAlignment="1">
      <alignment vertical="center"/>
    </xf>
    <xf numFmtId="9" fontId="13" fillId="0" borderId="0" xfId="42" applyFont="1" applyAlignment="1">
      <alignment vertical="center"/>
    </xf>
    <xf numFmtId="40" fontId="13" fillId="0" borderId="0" xfId="51" applyNumberFormat="1" applyFont="1" applyFill="1" applyBorder="1" applyAlignment="1">
      <alignment vertical="center"/>
    </xf>
    <xf numFmtId="0" fontId="13" fillId="0" borderId="0" xfId="0" applyFont="1" applyFill="1" applyAlignment="1">
      <alignment horizontal="right" vertical="center"/>
    </xf>
    <xf numFmtId="38" fontId="0" fillId="0" borderId="0" xfId="0" applyNumberFormat="1" applyFill="1" applyAlignment="1">
      <alignment vertical="center"/>
    </xf>
    <xf numFmtId="211" fontId="23" fillId="0" borderId="23" xfId="53" applyNumberFormat="1" applyFont="1" applyBorder="1" applyAlignment="1">
      <alignment vertical="center" wrapText="1"/>
    </xf>
    <xf numFmtId="0" fontId="2" fillId="0" borderId="0" xfId="0" applyFont="1" applyAlignment="1">
      <alignment vertical="center"/>
    </xf>
    <xf numFmtId="0" fontId="0" fillId="0" borderId="0" xfId="0" applyBorder="1" applyAlignment="1">
      <alignment vertical="center"/>
    </xf>
    <xf numFmtId="0" fontId="13" fillId="0" borderId="24" xfId="0" applyFont="1" applyFill="1" applyBorder="1" applyAlignment="1">
      <alignment vertical="center"/>
    </xf>
    <xf numFmtId="38" fontId="2" fillId="0" borderId="0" xfId="51" applyFont="1" applyFill="1" applyBorder="1" applyAlignment="1">
      <alignment vertical="center"/>
    </xf>
    <xf numFmtId="38" fontId="13" fillId="32" borderId="0" xfId="51" applyFont="1" applyFill="1" applyAlignment="1">
      <alignment vertical="center"/>
    </xf>
    <xf numFmtId="0" fontId="13" fillId="0" borderId="0" xfId="0" applyFont="1" applyBorder="1" applyAlignment="1">
      <alignment vertical="center"/>
    </xf>
    <xf numFmtId="0" fontId="13" fillId="0" borderId="0" xfId="0" applyNumberFormat="1" applyFont="1" applyFill="1" applyAlignment="1">
      <alignment vertical="center"/>
    </xf>
    <xf numFmtId="40" fontId="13" fillId="0" borderId="16" xfId="51" applyNumberFormat="1" applyFont="1" applyFill="1" applyBorder="1" applyAlignment="1">
      <alignment vertical="center"/>
    </xf>
    <xf numFmtId="0" fontId="64" fillId="0" borderId="13" xfId="66" applyBorder="1">
      <alignment vertical="center"/>
      <protection/>
    </xf>
    <xf numFmtId="0" fontId="22" fillId="4" borderId="0" xfId="0" applyFont="1" applyFill="1" applyBorder="1" applyAlignment="1">
      <alignment vertical="center"/>
    </xf>
    <xf numFmtId="38" fontId="13" fillId="0" borderId="0" xfId="0" applyNumberFormat="1" applyFont="1" applyBorder="1" applyAlignment="1">
      <alignment vertical="center"/>
    </xf>
    <xf numFmtId="0" fontId="13" fillId="0" borderId="19" xfId="0" applyFont="1" applyFill="1" applyBorder="1" applyAlignment="1">
      <alignment vertical="center"/>
    </xf>
    <xf numFmtId="0" fontId="2" fillId="0" borderId="0" xfId="0" applyFont="1" applyFill="1" applyBorder="1" applyAlignment="1">
      <alignment vertical="center"/>
    </xf>
    <xf numFmtId="0" fontId="13" fillId="0" borderId="16" xfId="0" applyFont="1" applyBorder="1" applyAlignment="1">
      <alignment vertical="center"/>
    </xf>
    <xf numFmtId="0" fontId="13" fillId="35" borderId="0" xfId="0" applyFont="1" applyFill="1" applyAlignment="1">
      <alignment vertical="center"/>
    </xf>
    <xf numFmtId="40" fontId="13" fillId="0" borderId="0" xfId="53" applyNumberFormat="1" applyFont="1" applyAlignment="1">
      <alignment vertical="center"/>
    </xf>
    <xf numFmtId="0" fontId="13" fillId="0" borderId="25" xfId="0" applyFont="1" applyFill="1" applyBorder="1" applyAlignment="1">
      <alignment vertical="center"/>
    </xf>
    <xf numFmtId="0" fontId="13" fillId="30" borderId="0" xfId="0" applyFont="1" applyFill="1" applyAlignment="1">
      <alignment vertical="center"/>
    </xf>
    <xf numFmtId="0" fontId="2" fillId="0" borderId="25" xfId="66" applyFont="1" applyFill="1" applyBorder="1">
      <alignment vertical="center"/>
      <protection/>
    </xf>
    <xf numFmtId="0" fontId="13" fillId="0" borderId="26" xfId="0" applyFont="1" applyBorder="1" applyAlignment="1">
      <alignment vertical="center"/>
    </xf>
    <xf numFmtId="38" fontId="13" fillId="32" borderId="0" xfId="0" applyNumberFormat="1" applyFont="1" applyFill="1" applyAlignment="1">
      <alignment vertical="center"/>
    </xf>
    <xf numFmtId="0" fontId="64" fillId="0" borderId="18" xfId="66" applyBorder="1">
      <alignment vertical="center"/>
      <protection/>
    </xf>
    <xf numFmtId="0" fontId="16" fillId="0" borderId="0" xfId="0" applyFont="1" applyAlignment="1">
      <alignment vertical="center"/>
    </xf>
    <xf numFmtId="0" fontId="13" fillId="0" borderId="12" xfId="0" applyFont="1" applyBorder="1" applyAlignment="1">
      <alignment vertical="center"/>
    </xf>
    <xf numFmtId="0" fontId="0" fillId="0" borderId="0" xfId="0" applyNumberFormat="1" applyAlignment="1">
      <alignment vertical="center"/>
    </xf>
    <xf numFmtId="0" fontId="64" fillId="0" borderId="25" xfId="66" applyFill="1" applyBorder="1">
      <alignment vertical="center"/>
      <protection/>
    </xf>
    <xf numFmtId="0" fontId="13" fillId="0" borderId="27" xfId="0" applyFont="1" applyBorder="1" applyAlignment="1">
      <alignment vertical="center"/>
    </xf>
    <xf numFmtId="185" fontId="0" fillId="0" borderId="0" xfId="0" applyNumberFormat="1" applyAlignment="1">
      <alignment vertical="center"/>
    </xf>
    <xf numFmtId="38" fontId="64" fillId="0" borderId="19" xfId="66" applyNumberFormat="1" applyFill="1" applyBorder="1">
      <alignment vertical="center"/>
      <protection/>
    </xf>
    <xf numFmtId="209" fontId="0" fillId="0" borderId="0" xfId="0" applyNumberFormat="1" applyAlignment="1">
      <alignment horizontal="center" vertical="center"/>
    </xf>
    <xf numFmtId="10" fontId="13" fillId="32" borderId="0" xfId="42" applyNumberFormat="1" applyFont="1" applyFill="1" applyAlignment="1">
      <alignment vertical="center"/>
    </xf>
    <xf numFmtId="0" fontId="0" fillId="0" borderId="0" xfId="0" applyAlignment="1">
      <alignment horizontal="center" vertical="center"/>
    </xf>
    <xf numFmtId="0" fontId="2" fillId="36" borderId="0" xfId="0" applyFont="1" applyFill="1" applyAlignment="1">
      <alignment vertical="center"/>
    </xf>
    <xf numFmtId="38" fontId="13" fillId="0" borderId="0" xfId="54" applyFont="1" applyFill="1" applyBorder="1" applyAlignment="1">
      <alignment vertical="center"/>
    </xf>
    <xf numFmtId="0" fontId="13" fillId="0" borderId="21" xfId="0" applyFont="1" applyFill="1" applyBorder="1" applyAlignment="1">
      <alignment vertical="center"/>
    </xf>
    <xf numFmtId="187" fontId="13" fillId="0" borderId="0" xfId="0" applyNumberFormat="1" applyFont="1" applyAlignment="1">
      <alignment vertical="center"/>
    </xf>
    <xf numFmtId="0" fontId="13" fillId="0" borderId="24" xfId="0" applyFont="1" applyBorder="1" applyAlignment="1">
      <alignment vertical="center"/>
    </xf>
    <xf numFmtId="0" fontId="13" fillId="0" borderId="28" xfId="0" applyFont="1" applyBorder="1" applyAlignment="1">
      <alignment vertical="center"/>
    </xf>
    <xf numFmtId="0" fontId="68" fillId="0" borderId="0" xfId="0" applyFont="1" applyAlignment="1">
      <alignment vertical="center"/>
    </xf>
    <xf numFmtId="38" fontId="13" fillId="0" borderId="0" xfId="51" applyFont="1" applyFill="1" applyAlignment="1">
      <alignment vertical="center"/>
    </xf>
    <xf numFmtId="0" fontId="13" fillId="0" borderId="29" xfId="0" applyFont="1" applyBorder="1" applyAlignment="1">
      <alignment vertical="center"/>
    </xf>
    <xf numFmtId="0" fontId="13" fillId="0" borderId="30" xfId="0" applyFont="1" applyFill="1" applyBorder="1" applyAlignment="1">
      <alignment vertical="center"/>
    </xf>
    <xf numFmtId="0" fontId="13" fillId="0" borderId="10" xfId="0" applyFont="1" applyBorder="1" applyAlignment="1">
      <alignment vertical="center"/>
    </xf>
    <xf numFmtId="0" fontId="13" fillId="0" borderId="0" xfId="0" applyNumberFormat="1" applyFont="1" applyFill="1" applyBorder="1" applyAlignment="1">
      <alignment vertical="center"/>
    </xf>
    <xf numFmtId="216" fontId="13" fillId="37" borderId="0" xfId="53" applyNumberFormat="1" applyFont="1" applyFill="1" applyAlignment="1">
      <alignment vertical="center"/>
    </xf>
    <xf numFmtId="0" fontId="13" fillId="0" borderId="31" xfId="0" applyFont="1" applyFill="1" applyBorder="1" applyAlignment="1">
      <alignment vertical="center"/>
    </xf>
    <xf numFmtId="0" fontId="13" fillId="0" borderId="0" xfId="0" applyFont="1" applyFill="1" applyAlignment="1">
      <alignment vertical="center"/>
    </xf>
    <xf numFmtId="38" fontId="13" fillId="0" borderId="13" xfId="53" applyFont="1" applyFill="1" applyBorder="1" applyAlignment="1">
      <alignment vertical="center"/>
    </xf>
    <xf numFmtId="0" fontId="19" fillId="10" borderId="0" xfId="0" applyFont="1" applyFill="1" applyAlignment="1">
      <alignment vertical="center"/>
    </xf>
    <xf numFmtId="0" fontId="64" fillId="0" borderId="31" xfId="66" applyFill="1" applyBorder="1">
      <alignment vertical="center"/>
      <protection/>
    </xf>
    <xf numFmtId="38" fontId="13" fillId="0" borderId="0" xfId="0" applyNumberFormat="1" applyFont="1" applyFill="1" applyAlignment="1">
      <alignment vertical="center"/>
    </xf>
    <xf numFmtId="0" fontId="64" fillId="0" borderId="11" xfId="66" applyBorder="1">
      <alignment vertical="center"/>
      <protection/>
    </xf>
    <xf numFmtId="38" fontId="5" fillId="0" borderId="0" xfId="51" applyFont="1" applyAlignment="1">
      <alignment vertical="center"/>
    </xf>
    <xf numFmtId="38" fontId="64" fillId="0" borderId="0" xfId="66" applyNumberFormat="1" applyFill="1">
      <alignment vertical="center"/>
      <protection/>
    </xf>
    <xf numFmtId="0" fontId="64" fillId="0" borderId="0" xfId="66" applyBorder="1">
      <alignment vertical="center"/>
      <protection/>
    </xf>
    <xf numFmtId="10" fontId="13" fillId="0" borderId="0" xfId="42" applyNumberFormat="1" applyFont="1" applyFill="1" applyAlignment="1">
      <alignment vertical="center"/>
    </xf>
    <xf numFmtId="216" fontId="13" fillId="37" borderId="0" xfId="51" applyNumberFormat="1" applyFont="1" applyFill="1" applyAlignment="1">
      <alignment vertical="center"/>
    </xf>
    <xf numFmtId="0" fontId="22" fillId="4" borderId="26" xfId="0" applyFont="1" applyFill="1" applyBorder="1" applyAlignment="1">
      <alignment vertical="center"/>
    </xf>
    <xf numFmtId="0" fontId="2" fillId="33" borderId="0" xfId="0" applyFont="1" applyFill="1" applyAlignment="1">
      <alignment vertical="center"/>
    </xf>
    <xf numFmtId="187" fontId="0" fillId="0" borderId="0" xfId="0" applyNumberFormat="1" applyAlignment="1">
      <alignment vertical="center"/>
    </xf>
    <xf numFmtId="188" fontId="2" fillId="0" borderId="0" xfId="51" applyNumberFormat="1" applyFont="1" applyFill="1" applyBorder="1" applyAlignment="1">
      <alignment vertical="center"/>
    </xf>
    <xf numFmtId="0" fontId="13" fillId="38" borderId="0" xfId="0" applyFont="1" applyFill="1" applyAlignment="1">
      <alignment vertical="center"/>
    </xf>
    <xf numFmtId="38" fontId="13" fillId="0" borderId="0" xfId="0" applyNumberFormat="1" applyFont="1" applyBorder="1" applyAlignment="1">
      <alignment horizontal="right" vertical="center"/>
    </xf>
    <xf numFmtId="38" fontId="0" fillId="0" borderId="0" xfId="0" applyNumberFormat="1" applyAlignment="1">
      <alignment vertical="center"/>
    </xf>
    <xf numFmtId="38" fontId="13" fillId="32" borderId="0" xfId="53" applyFont="1" applyFill="1" applyAlignment="1">
      <alignment vertical="center"/>
    </xf>
    <xf numFmtId="0" fontId="13" fillId="0" borderId="24" xfId="0" applyFont="1" applyBorder="1" applyAlignment="1">
      <alignment vertical="center"/>
    </xf>
    <xf numFmtId="0" fontId="8" fillId="0" borderId="0" xfId="0" applyFont="1" applyFill="1" applyBorder="1" applyAlignment="1">
      <alignment vertical="center"/>
    </xf>
    <xf numFmtId="0" fontId="13" fillId="0" borderId="0" xfId="0" applyFont="1" applyBorder="1" applyAlignment="1">
      <alignment horizontal="center" vertical="center"/>
    </xf>
    <xf numFmtId="0" fontId="16" fillId="0" borderId="27" xfId="0" applyFont="1" applyBorder="1" applyAlignment="1">
      <alignment vertical="center"/>
    </xf>
    <xf numFmtId="0" fontId="13" fillId="0" borderId="13" xfId="0" applyFont="1" applyFill="1" applyBorder="1" applyAlignment="1">
      <alignment vertical="center"/>
    </xf>
    <xf numFmtId="40" fontId="13" fillId="33" borderId="0" xfId="53" applyNumberFormat="1" applyFont="1" applyFill="1" applyAlignment="1">
      <alignment vertical="center"/>
    </xf>
    <xf numFmtId="187" fontId="2" fillId="0" borderId="0" xfId="0" applyNumberFormat="1" applyFont="1" applyFill="1" applyAlignment="1">
      <alignment vertical="center"/>
    </xf>
    <xf numFmtId="0" fontId="13" fillId="0" borderId="30" xfId="0" applyFont="1" applyFill="1" applyBorder="1" applyAlignment="1">
      <alignment vertical="center"/>
    </xf>
    <xf numFmtId="38" fontId="2" fillId="0" borderId="0" xfId="0" applyNumberFormat="1" applyFont="1" applyFill="1" applyAlignment="1">
      <alignment vertical="center"/>
    </xf>
    <xf numFmtId="194" fontId="13" fillId="0" borderId="0" xfId="42" applyNumberFormat="1" applyFont="1" applyFill="1" applyAlignment="1">
      <alignment vertical="center"/>
    </xf>
    <xf numFmtId="0" fontId="23" fillId="0" borderId="32" xfId="66" applyFont="1" applyBorder="1" applyAlignment="1">
      <alignment vertical="center" wrapText="1"/>
      <protection/>
    </xf>
    <xf numFmtId="0" fontId="0" fillId="0" borderId="0" xfId="0" applyFill="1" applyAlignment="1">
      <alignment vertical="center"/>
    </xf>
    <xf numFmtId="0" fontId="16" fillId="0" borderId="24" xfId="0" applyFont="1" applyBorder="1" applyAlignment="1">
      <alignment vertical="center"/>
    </xf>
    <xf numFmtId="0" fontId="13" fillId="0" borderId="14" xfId="0" applyFont="1" applyFill="1" applyBorder="1" applyAlignment="1">
      <alignment vertical="center"/>
    </xf>
    <xf numFmtId="189" fontId="23" fillId="0" borderId="33" xfId="53" applyNumberFormat="1" applyFont="1" applyBorder="1" applyAlignment="1">
      <alignment vertical="center" wrapText="1"/>
    </xf>
    <xf numFmtId="0" fontId="13" fillId="0" borderId="0" xfId="0" applyFont="1" applyFill="1" applyAlignment="1">
      <alignment vertical="center"/>
    </xf>
    <xf numFmtId="0" fontId="64" fillId="0" borderId="0" xfId="66" applyFill="1" applyBorder="1" applyAlignment="1">
      <alignment horizontal="right" vertical="center"/>
      <protection/>
    </xf>
    <xf numFmtId="0" fontId="16" fillId="0" borderId="29" xfId="0" applyFont="1" applyBorder="1" applyAlignment="1">
      <alignment vertical="center"/>
    </xf>
    <xf numFmtId="0" fontId="13" fillId="0" borderId="0" xfId="66" applyFont="1">
      <alignment vertical="center"/>
      <protection/>
    </xf>
    <xf numFmtId="0" fontId="64" fillId="0" borderId="14" xfId="66" applyFill="1" applyBorder="1">
      <alignment vertical="center"/>
      <protection/>
    </xf>
    <xf numFmtId="211" fontId="23" fillId="0" borderId="34" xfId="53" applyNumberFormat="1" applyFont="1" applyBorder="1" applyAlignment="1">
      <alignment vertical="center" wrapText="1"/>
    </xf>
    <xf numFmtId="0" fontId="64" fillId="0" borderId="25" xfId="66" applyBorder="1">
      <alignment vertical="center"/>
      <protection/>
    </xf>
    <xf numFmtId="189" fontId="23" fillId="0" borderId="35" xfId="53" applyNumberFormat="1" applyFont="1" applyBorder="1" applyAlignment="1">
      <alignment vertical="center" wrapText="1"/>
    </xf>
    <xf numFmtId="216" fontId="13" fillId="0" borderId="0" xfId="51" applyNumberFormat="1" applyFont="1" applyFill="1" applyAlignment="1">
      <alignment vertical="center"/>
    </xf>
    <xf numFmtId="0" fontId="7" fillId="0" borderId="0" xfId="0" applyFont="1" applyFill="1" applyAlignment="1">
      <alignment vertical="center"/>
    </xf>
    <xf numFmtId="38" fontId="13" fillId="0" borderId="0" xfId="53" applyFont="1" applyFill="1" applyBorder="1" applyAlignment="1">
      <alignment vertical="center"/>
    </xf>
    <xf numFmtId="9" fontId="8" fillId="0" borderId="0" xfId="42" applyFont="1" applyFill="1" applyBorder="1" applyAlignment="1">
      <alignment vertical="center"/>
    </xf>
    <xf numFmtId="0" fontId="13" fillId="32" borderId="0" xfId="0" applyFont="1" applyFill="1" applyAlignment="1">
      <alignment vertical="center"/>
    </xf>
    <xf numFmtId="187" fontId="0" fillId="0" borderId="0" xfId="0" applyNumberFormat="1" applyFill="1" applyAlignment="1">
      <alignment horizontal="center" vertical="center"/>
    </xf>
    <xf numFmtId="38" fontId="13" fillId="0" borderId="0" xfId="51" applyFont="1" applyAlignment="1">
      <alignment vertical="center"/>
    </xf>
    <xf numFmtId="189" fontId="2" fillId="0" borderId="0" xfId="53" applyNumberFormat="1" applyFont="1" applyFill="1" applyAlignment="1">
      <alignment vertical="center"/>
    </xf>
    <xf numFmtId="194" fontId="8" fillId="0" borderId="0" xfId="42" applyNumberFormat="1" applyFont="1" applyFill="1" applyBorder="1" applyAlignment="1">
      <alignment vertical="center"/>
    </xf>
    <xf numFmtId="0" fontId="64" fillId="0" borderId="19" xfId="66" applyFill="1" applyBorder="1">
      <alignment vertical="center"/>
      <protection/>
    </xf>
    <xf numFmtId="0" fontId="0" fillId="0" borderId="0" xfId="0" applyBorder="1" applyAlignment="1">
      <alignment horizontal="center" vertical="center"/>
    </xf>
    <xf numFmtId="40" fontId="13" fillId="0" borderId="0" xfId="51" applyNumberFormat="1" applyFont="1" applyFill="1" applyAlignment="1">
      <alignment vertical="center"/>
    </xf>
    <xf numFmtId="0" fontId="13" fillId="0" borderId="30" xfId="0" applyFont="1" applyBorder="1" applyAlignment="1">
      <alignment vertical="center"/>
    </xf>
    <xf numFmtId="0" fontId="13" fillId="34" borderId="0" xfId="0" applyFont="1" applyFill="1" applyAlignment="1">
      <alignment vertical="center"/>
    </xf>
    <xf numFmtId="0" fontId="13" fillId="39" borderId="0" xfId="0" applyFont="1" applyFill="1" applyAlignment="1">
      <alignment vertical="center"/>
    </xf>
    <xf numFmtId="0" fontId="0" fillId="0" borderId="13" xfId="0" applyFill="1" applyBorder="1" applyAlignment="1">
      <alignment vertical="center"/>
    </xf>
    <xf numFmtId="0" fontId="13" fillId="0" borderId="10" xfId="0" applyFont="1" applyFill="1" applyBorder="1" applyAlignment="1">
      <alignment vertical="center"/>
    </xf>
    <xf numFmtId="0" fontId="13" fillId="0" borderId="0" xfId="0" applyFont="1" applyAlignment="1">
      <alignment vertical="center"/>
    </xf>
    <xf numFmtId="38" fontId="13" fillId="0" borderId="0" xfId="51" applyFont="1" applyFill="1" applyBorder="1" applyAlignment="1">
      <alignment vertical="center"/>
    </xf>
    <xf numFmtId="0" fontId="20" fillId="0" borderId="0" xfId="0" applyFont="1" applyFill="1" applyBorder="1" applyAlignment="1">
      <alignment horizontal="left" vertical="center"/>
    </xf>
    <xf numFmtId="0" fontId="64" fillId="0" borderId="31" xfId="66" applyBorder="1">
      <alignment vertical="center"/>
      <protection/>
    </xf>
    <xf numFmtId="38" fontId="13" fillId="0" borderId="0" xfId="0" applyNumberFormat="1" applyFont="1" applyAlignment="1">
      <alignment vertical="center"/>
    </xf>
    <xf numFmtId="0" fontId="13" fillId="5" borderId="0" xfId="0" applyFont="1" applyFill="1" applyAlignment="1">
      <alignment vertical="center"/>
    </xf>
    <xf numFmtId="0" fontId="0" fillId="0" borderId="18" xfId="0" applyFill="1" applyBorder="1" applyAlignment="1">
      <alignment vertical="center"/>
    </xf>
    <xf numFmtId="38" fontId="5" fillId="0" borderId="0" xfId="53" applyFont="1" applyAlignment="1">
      <alignment vertical="center"/>
    </xf>
    <xf numFmtId="0" fontId="64" fillId="0" borderId="21" xfId="66" applyFill="1" applyBorder="1">
      <alignment vertical="center"/>
      <protection/>
    </xf>
    <xf numFmtId="14" fontId="13" fillId="0" borderId="0" xfId="0" applyNumberFormat="1" applyFont="1" applyAlignment="1">
      <alignment vertical="center"/>
    </xf>
    <xf numFmtId="38" fontId="13" fillId="0" borderId="10" xfId="53" applyFont="1" applyFill="1" applyBorder="1" applyAlignment="1">
      <alignment vertical="center"/>
    </xf>
    <xf numFmtId="0" fontId="13" fillId="0" borderId="0" xfId="0" applyFont="1" applyFill="1" applyBorder="1" applyAlignment="1">
      <alignment vertical="center"/>
    </xf>
    <xf numFmtId="0" fontId="23" fillId="0" borderId="36" xfId="66" applyFont="1" applyBorder="1" applyAlignment="1">
      <alignment vertical="center" wrapText="1"/>
      <protection/>
    </xf>
    <xf numFmtId="194" fontId="13" fillId="0" borderId="0" xfId="0" applyNumberFormat="1" applyFont="1" applyFill="1" applyAlignment="1">
      <alignment vertical="center"/>
    </xf>
    <xf numFmtId="199" fontId="13" fillId="0" borderId="0" xfId="53" applyNumberFormat="1" applyFont="1" applyFill="1" applyBorder="1" applyAlignment="1">
      <alignment vertical="center"/>
    </xf>
    <xf numFmtId="38" fontId="64" fillId="0" borderId="0" xfId="66" applyNumberFormat="1">
      <alignment vertical="center"/>
      <protection/>
    </xf>
    <xf numFmtId="0" fontId="13" fillId="0" borderId="37" xfId="0" applyFont="1" applyBorder="1" applyAlignment="1">
      <alignment vertical="center"/>
    </xf>
    <xf numFmtId="0" fontId="2" fillId="32" borderId="0" xfId="0" applyFont="1" applyFill="1" applyAlignment="1">
      <alignment vertical="center"/>
    </xf>
    <xf numFmtId="208" fontId="13" fillId="0" borderId="0" xfId="0" applyNumberFormat="1" applyFont="1" applyFill="1" applyAlignment="1">
      <alignment vertical="center"/>
    </xf>
    <xf numFmtId="0" fontId="2" fillId="35" borderId="0" xfId="0" applyFont="1" applyFill="1" applyAlignment="1">
      <alignment vertical="center"/>
    </xf>
    <xf numFmtId="191" fontId="13" fillId="0" borderId="0" xfId="0" applyNumberFormat="1" applyFont="1" applyAlignment="1">
      <alignment vertical="center"/>
    </xf>
    <xf numFmtId="40" fontId="8" fillId="0" borderId="0" xfId="51" applyNumberFormat="1" applyFont="1" applyFill="1" applyBorder="1" applyAlignment="1">
      <alignment vertical="center"/>
    </xf>
    <xf numFmtId="38" fontId="13" fillId="0" borderId="13" xfId="51" applyFont="1" applyBorder="1" applyAlignment="1">
      <alignment vertical="center"/>
    </xf>
    <xf numFmtId="187" fontId="64" fillId="0" borderId="0" xfId="66" applyNumberFormat="1" applyFill="1" applyBorder="1">
      <alignment vertical="center"/>
      <protection/>
    </xf>
    <xf numFmtId="0" fontId="13" fillId="0" borderId="20" xfId="0" applyFont="1" applyBorder="1" applyAlignment="1">
      <alignment vertical="center"/>
    </xf>
    <xf numFmtId="38" fontId="13" fillId="0" borderId="30" xfId="51" applyFont="1" applyBorder="1" applyAlignment="1">
      <alignment vertical="center"/>
    </xf>
    <xf numFmtId="38" fontId="64" fillId="0" borderId="0" xfId="66" applyNumberFormat="1" applyFill="1" applyBorder="1">
      <alignment vertical="center"/>
      <protection/>
    </xf>
    <xf numFmtId="0" fontId="64" fillId="0" borderId="0" xfId="66" applyFill="1">
      <alignment vertical="center"/>
      <protection/>
    </xf>
    <xf numFmtId="0" fontId="24" fillId="0" borderId="0" xfId="0" applyFont="1" applyFill="1" applyAlignment="1">
      <alignment vertical="center"/>
    </xf>
    <xf numFmtId="184" fontId="2" fillId="0" borderId="0" xfId="0" applyNumberFormat="1" applyFont="1" applyFill="1" applyBorder="1" applyAlignment="1">
      <alignment vertical="center"/>
    </xf>
    <xf numFmtId="0" fontId="13" fillId="0" borderId="0" xfId="53" applyNumberFormat="1" applyFont="1" applyAlignment="1">
      <alignment vertical="center"/>
    </xf>
    <xf numFmtId="186" fontId="11" fillId="0" borderId="0" xfId="66" applyNumberFormat="1" applyFont="1">
      <alignment vertical="center"/>
      <protection/>
    </xf>
    <xf numFmtId="0" fontId="13" fillId="0" borderId="12" xfId="0" applyFont="1" applyFill="1" applyBorder="1" applyAlignment="1">
      <alignment vertical="center"/>
    </xf>
    <xf numFmtId="38" fontId="13" fillId="0" borderId="10" xfId="51" applyFont="1" applyFill="1" applyBorder="1" applyAlignment="1">
      <alignment vertical="center"/>
    </xf>
    <xf numFmtId="0" fontId="14" fillId="0" borderId="24" xfId="0" applyFont="1" applyBorder="1" applyAlignment="1" applyProtection="1">
      <alignment horizontal="left" vertical="center" indent="1" shrinkToFit="1"/>
      <protection hidden="1"/>
    </xf>
    <xf numFmtId="0" fontId="14" fillId="0" borderId="0" xfId="0" applyFont="1" applyBorder="1" applyAlignment="1" applyProtection="1">
      <alignment horizontal="left" vertical="center" indent="1" shrinkToFit="1"/>
      <protection hidden="1"/>
    </xf>
    <xf numFmtId="0" fontId="14" fillId="0" borderId="38" xfId="0" applyFont="1" applyBorder="1" applyAlignment="1" applyProtection="1">
      <alignment horizontal="left" vertical="center" indent="1" shrinkToFit="1"/>
      <protection hidden="1"/>
    </xf>
    <xf numFmtId="0" fontId="14" fillId="0" borderId="13" xfId="0" applyFont="1" applyBorder="1" applyAlignment="1" applyProtection="1">
      <alignment horizontal="left" vertical="center" indent="1" shrinkToFit="1"/>
      <protection hidden="1"/>
    </xf>
    <xf numFmtId="0" fontId="21" fillId="4" borderId="26"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39" xfId="0" applyFont="1" applyFill="1" applyBorder="1" applyAlignment="1">
      <alignment horizontal="center" vertical="center"/>
    </xf>
    <xf numFmtId="31" fontId="15" fillId="0" borderId="0" xfId="0" applyNumberFormat="1" applyFont="1" applyBorder="1" applyAlignment="1" applyProtection="1">
      <alignment horizontal="center" vertical="center"/>
      <protection hidden="1"/>
    </xf>
    <xf numFmtId="0" fontId="14" fillId="0" borderId="0" xfId="0" applyFont="1" applyBorder="1" applyAlignment="1">
      <alignment horizontal="center" vertical="center" shrinkToFit="1"/>
    </xf>
    <xf numFmtId="0" fontId="14" fillId="0" borderId="13" xfId="0" applyFont="1" applyBorder="1" applyAlignment="1">
      <alignment horizontal="center" vertical="center" shrinkToFit="1"/>
    </xf>
    <xf numFmtId="0" fontId="9" fillId="35" borderId="29" xfId="0" applyFont="1" applyFill="1" applyBorder="1" applyAlignment="1">
      <alignment vertical="center"/>
    </xf>
    <xf numFmtId="0" fontId="9" fillId="35" borderId="26" xfId="0" applyFont="1" applyFill="1" applyBorder="1" applyAlignment="1">
      <alignment vertical="center"/>
    </xf>
    <xf numFmtId="0" fontId="9" fillId="35" borderId="37" xfId="0" applyFont="1" applyFill="1" applyBorder="1" applyAlignment="1">
      <alignment vertical="center"/>
    </xf>
    <xf numFmtId="0" fontId="9" fillId="35" borderId="27" xfId="0" applyFont="1" applyFill="1" applyBorder="1" applyAlignment="1">
      <alignment vertical="center"/>
    </xf>
    <xf numFmtId="0" fontId="9" fillId="35" borderId="20" xfId="0" applyFont="1" applyFill="1" applyBorder="1" applyAlignment="1">
      <alignment vertical="center"/>
    </xf>
    <xf numFmtId="0" fontId="9" fillId="35" borderId="28" xfId="0" applyFont="1" applyFill="1" applyBorder="1" applyAlignment="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193" fontId="13" fillId="0" borderId="16" xfId="51" applyNumberFormat="1" applyFont="1" applyFill="1" applyBorder="1" applyAlignment="1">
      <alignment horizontal="center" vertical="center"/>
    </xf>
    <xf numFmtId="193" fontId="13" fillId="0" borderId="12" xfId="51" applyNumberFormat="1" applyFont="1" applyFill="1" applyBorder="1" applyAlignment="1">
      <alignment horizontal="center" vertical="center"/>
    </xf>
    <xf numFmtId="0" fontId="22" fillId="40" borderId="29" xfId="0" applyFont="1" applyFill="1" applyBorder="1" applyAlignment="1">
      <alignment vertical="center"/>
    </xf>
    <xf numFmtId="0" fontId="22" fillId="4" borderId="26" xfId="0" applyFont="1" applyFill="1" applyBorder="1" applyAlignment="1">
      <alignment vertical="center"/>
    </xf>
    <xf numFmtId="0" fontId="22" fillId="40" borderId="24" xfId="0" applyFont="1" applyFill="1" applyBorder="1" applyAlignment="1">
      <alignment vertical="center"/>
    </xf>
    <xf numFmtId="0" fontId="22" fillId="40" borderId="0" xfId="0" applyFont="1" applyFill="1" applyBorder="1" applyAlignment="1">
      <alignment vertical="center"/>
    </xf>
    <xf numFmtId="0" fontId="22" fillId="4" borderId="27" xfId="0" applyFont="1" applyFill="1" applyBorder="1" applyAlignment="1">
      <alignment vertical="center"/>
    </xf>
    <xf numFmtId="0" fontId="22" fillId="4" borderId="20" xfId="0" applyFont="1" applyFill="1" applyBorder="1" applyAlignment="1">
      <alignment vertical="center"/>
    </xf>
    <xf numFmtId="0" fontId="13" fillId="0" borderId="20" xfId="0" applyFont="1" applyBorder="1" applyAlignment="1">
      <alignment vertical="center"/>
    </xf>
    <xf numFmtId="0" fontId="22" fillId="4" borderId="26" xfId="0" applyNumberFormat="1" applyFont="1" applyFill="1" applyBorder="1" applyAlignment="1">
      <alignment horizontal="right" vertical="center" shrinkToFit="1"/>
    </xf>
    <xf numFmtId="0" fontId="22" fillId="4" borderId="37" xfId="0" applyNumberFormat="1" applyFont="1" applyFill="1" applyBorder="1" applyAlignment="1">
      <alignment horizontal="right" vertical="center" shrinkToFit="1"/>
    </xf>
    <xf numFmtId="0" fontId="22" fillId="4" borderId="0" xfId="0" applyNumberFormat="1" applyFont="1" applyFill="1" applyBorder="1" applyAlignment="1">
      <alignment horizontal="right" vertical="center" shrinkToFit="1"/>
    </xf>
    <xf numFmtId="0" fontId="22" fillId="4" borderId="30" xfId="0" applyNumberFormat="1" applyFont="1" applyFill="1" applyBorder="1" applyAlignment="1">
      <alignment horizontal="right" vertical="center" shrinkToFit="1"/>
    </xf>
    <xf numFmtId="0" fontId="22" fillId="4" borderId="20" xfId="0" applyNumberFormat="1" applyFont="1" applyFill="1" applyBorder="1" applyAlignment="1">
      <alignment horizontal="right" vertical="center" shrinkToFit="1"/>
    </xf>
    <xf numFmtId="0" fontId="22" fillId="4" borderId="28" xfId="0" applyNumberFormat="1" applyFont="1" applyFill="1" applyBorder="1" applyAlignment="1">
      <alignment horizontal="right" vertical="center" shrinkToFit="1"/>
    </xf>
    <xf numFmtId="0" fontId="17" fillId="35" borderId="29" xfId="0" applyFont="1" applyFill="1" applyBorder="1" applyAlignment="1">
      <alignment vertical="center"/>
    </xf>
    <xf numFmtId="0" fontId="17" fillId="35" borderId="26" xfId="0" applyFont="1" applyFill="1" applyBorder="1" applyAlignment="1">
      <alignment vertical="center"/>
    </xf>
    <xf numFmtId="0" fontId="17" fillId="35" borderId="37" xfId="0" applyFont="1" applyFill="1" applyBorder="1" applyAlignment="1">
      <alignment vertical="center"/>
    </xf>
    <xf numFmtId="0" fontId="17" fillId="35" borderId="27" xfId="0" applyFont="1" applyFill="1" applyBorder="1" applyAlignment="1">
      <alignment vertical="center"/>
    </xf>
    <xf numFmtId="0" fontId="17" fillId="35" borderId="20" xfId="0" applyFont="1" applyFill="1" applyBorder="1" applyAlignment="1">
      <alignment vertical="center"/>
    </xf>
    <xf numFmtId="0" fontId="17" fillId="35" borderId="28" xfId="0" applyFont="1" applyFill="1" applyBorder="1" applyAlignment="1">
      <alignment vertical="center"/>
    </xf>
    <xf numFmtId="0" fontId="13" fillId="0" borderId="16" xfId="0" applyFont="1" applyBorder="1" applyAlignment="1">
      <alignment horizontal="center" vertical="center"/>
    </xf>
    <xf numFmtId="0" fontId="13" fillId="0" borderId="12" xfId="0" applyFont="1" applyBorder="1" applyAlignment="1">
      <alignment horizontal="center" vertical="center"/>
    </xf>
    <xf numFmtId="38" fontId="13" fillId="0" borderId="16" xfId="51" applyFont="1" applyFill="1" applyBorder="1" applyAlignment="1">
      <alignment horizontal="right" vertical="center" indent="5"/>
    </xf>
    <xf numFmtId="38" fontId="13" fillId="0" borderId="10" xfId="51" applyFont="1" applyFill="1" applyBorder="1" applyAlignment="1">
      <alignment horizontal="right" vertical="center" indent="5"/>
    </xf>
    <xf numFmtId="38" fontId="13" fillId="0" borderId="12" xfId="51" applyFont="1" applyFill="1" applyBorder="1" applyAlignment="1">
      <alignment horizontal="right" vertical="center" indent="5"/>
    </xf>
    <xf numFmtId="0" fontId="13" fillId="0" borderId="40" xfId="0" applyFont="1" applyBorder="1" applyAlignment="1">
      <alignment horizontal="center" vertical="center"/>
    </xf>
    <xf numFmtId="193" fontId="13" fillId="0" borderId="16" xfId="51" applyNumberFormat="1" applyFont="1" applyFill="1" applyBorder="1" applyAlignment="1">
      <alignment horizontal="right" vertical="center" indent="5"/>
    </xf>
    <xf numFmtId="193" fontId="13" fillId="0" borderId="10" xfId="51" applyNumberFormat="1" applyFont="1" applyFill="1" applyBorder="1" applyAlignment="1">
      <alignment horizontal="right" vertical="center" indent="5"/>
    </xf>
    <xf numFmtId="193" fontId="13" fillId="0" borderId="12" xfId="51" applyNumberFormat="1" applyFont="1" applyFill="1" applyBorder="1" applyAlignment="1">
      <alignment horizontal="right" vertical="center" indent="5"/>
    </xf>
    <xf numFmtId="188" fontId="13" fillId="0" borderId="16" xfId="51" applyNumberFormat="1" applyFont="1" applyFill="1" applyBorder="1" applyAlignment="1">
      <alignment horizontal="right" vertical="center" indent="5"/>
    </xf>
    <xf numFmtId="188" fontId="13" fillId="0" borderId="10" xfId="51" applyNumberFormat="1" applyFont="1" applyFill="1" applyBorder="1" applyAlignment="1">
      <alignment horizontal="right" vertical="center" indent="5"/>
    </xf>
    <xf numFmtId="188" fontId="13" fillId="0" borderId="12" xfId="51" applyNumberFormat="1" applyFont="1" applyFill="1" applyBorder="1" applyAlignment="1">
      <alignment horizontal="right" vertical="center" indent="5"/>
    </xf>
    <xf numFmtId="40" fontId="13" fillId="0" borderId="16" xfId="51" applyNumberFormat="1" applyFont="1" applyFill="1" applyBorder="1" applyAlignment="1">
      <alignment horizontal="right" vertical="center" indent="5"/>
    </xf>
    <xf numFmtId="40" fontId="13" fillId="0" borderId="10" xfId="51" applyNumberFormat="1" applyFont="1" applyFill="1" applyBorder="1" applyAlignment="1">
      <alignment horizontal="right" vertical="center" indent="5"/>
    </xf>
    <xf numFmtId="40" fontId="13" fillId="0" borderId="12" xfId="51" applyNumberFormat="1" applyFont="1" applyFill="1" applyBorder="1" applyAlignment="1">
      <alignment horizontal="right" vertical="center" indent="5"/>
    </xf>
    <xf numFmtId="194" fontId="13" fillId="0" borderId="16" xfId="42" applyNumberFormat="1" applyFont="1" applyFill="1" applyBorder="1" applyAlignment="1">
      <alignment horizontal="right" vertical="center" indent="5"/>
    </xf>
    <xf numFmtId="194" fontId="13" fillId="0" borderId="10" xfId="42" applyNumberFormat="1" applyFont="1" applyFill="1" applyBorder="1" applyAlignment="1">
      <alignment horizontal="right" vertical="center" indent="5"/>
    </xf>
    <xf numFmtId="194" fontId="13" fillId="0" borderId="12" xfId="42" applyNumberFormat="1" applyFont="1" applyFill="1" applyBorder="1" applyAlignment="1">
      <alignment horizontal="right" vertical="center" indent="5"/>
    </xf>
    <xf numFmtId="10" fontId="13" fillId="0" borderId="16" xfId="42" applyNumberFormat="1" applyFont="1" applyFill="1" applyBorder="1" applyAlignment="1">
      <alignment horizontal="right" vertical="center" indent="5"/>
    </xf>
    <xf numFmtId="10" fontId="13" fillId="0" borderId="10" xfId="42" applyNumberFormat="1" applyFont="1" applyFill="1" applyBorder="1" applyAlignment="1">
      <alignment horizontal="right" vertical="center" indent="5"/>
    </xf>
    <xf numFmtId="10" fontId="13" fillId="0" borderId="12" xfId="42" applyNumberFormat="1" applyFont="1" applyFill="1" applyBorder="1" applyAlignment="1">
      <alignment horizontal="right" vertical="center" indent="5"/>
    </xf>
    <xf numFmtId="38" fontId="13" fillId="0" borderId="16" xfId="0" applyNumberFormat="1" applyFont="1" applyBorder="1" applyAlignment="1">
      <alignment horizontal="center" vertical="center"/>
    </xf>
    <xf numFmtId="0" fontId="13" fillId="0" borderId="10" xfId="0" applyFont="1" applyBorder="1" applyAlignment="1">
      <alignment horizontal="center" vertical="center"/>
    </xf>
    <xf numFmtId="38" fontId="13" fillId="0" borderId="40" xfId="0" applyNumberFormat="1" applyFont="1" applyBorder="1" applyAlignment="1">
      <alignment horizontal="center" vertical="center"/>
    </xf>
    <xf numFmtId="0" fontId="22" fillId="4" borderId="26" xfId="0" applyFont="1" applyFill="1" applyBorder="1" applyAlignment="1">
      <alignment horizontal="right" vertical="center" shrinkToFit="1"/>
    </xf>
    <xf numFmtId="0" fontId="22" fillId="40" borderId="37" xfId="0" applyFont="1" applyFill="1" applyBorder="1" applyAlignment="1">
      <alignment horizontal="right" vertical="center" shrinkToFit="1"/>
    </xf>
    <xf numFmtId="0" fontId="22" fillId="4" borderId="0" xfId="0" applyFont="1" applyFill="1" applyBorder="1" applyAlignment="1">
      <alignment horizontal="right" vertical="center" shrinkToFit="1"/>
    </xf>
    <xf numFmtId="0" fontId="22" fillId="40" borderId="30" xfId="0" applyFont="1" applyFill="1" applyBorder="1" applyAlignment="1">
      <alignment horizontal="right" vertical="center" shrinkToFit="1"/>
    </xf>
    <xf numFmtId="0" fontId="22" fillId="4" borderId="20" xfId="0" applyFont="1" applyFill="1" applyBorder="1" applyAlignment="1">
      <alignment horizontal="right" vertical="center" shrinkToFit="1"/>
    </xf>
    <xf numFmtId="0" fontId="22" fillId="4" borderId="28" xfId="0" applyFont="1" applyFill="1" applyBorder="1" applyAlignment="1">
      <alignment horizontal="right" vertical="center" shrinkToFit="1"/>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2" fillId="40" borderId="26" xfId="0" applyFont="1" applyFill="1" applyBorder="1" applyAlignment="1">
      <alignment horizontal="right" vertical="center" shrinkToFit="1"/>
    </xf>
    <xf numFmtId="0" fontId="22" fillId="40" borderId="0" xfId="0" applyFont="1" applyFill="1" applyBorder="1" applyAlignment="1">
      <alignment horizontal="right" vertical="center" shrinkToFit="1"/>
    </xf>
    <xf numFmtId="0" fontId="22" fillId="40" borderId="20" xfId="0" applyFont="1" applyFill="1" applyBorder="1" applyAlignment="1">
      <alignment horizontal="right" vertical="center" shrinkToFit="1"/>
    </xf>
    <xf numFmtId="0" fontId="22" fillId="40" borderId="28" xfId="0" applyFont="1" applyFill="1" applyBorder="1" applyAlignment="1">
      <alignment horizontal="right" vertical="center" shrinkToFit="1"/>
    </xf>
    <xf numFmtId="0" fontId="22" fillId="40" borderId="26" xfId="0" applyFont="1" applyFill="1" applyBorder="1" applyAlignment="1">
      <alignment vertical="center"/>
    </xf>
    <xf numFmtId="0" fontId="22" fillId="40" borderId="27" xfId="0" applyFont="1" applyFill="1" applyBorder="1" applyAlignment="1">
      <alignment vertical="center"/>
    </xf>
    <xf numFmtId="0" fontId="22" fillId="40" borderId="20" xfId="0" applyFont="1" applyFill="1" applyBorder="1" applyAlignment="1">
      <alignment vertical="center"/>
    </xf>
    <xf numFmtId="0" fontId="23" fillId="41" borderId="41" xfId="66" applyFont="1" applyFill="1" applyBorder="1" applyAlignment="1">
      <alignment horizontal="center" vertical="center" wrapText="1"/>
      <protection/>
    </xf>
    <xf numFmtId="0" fontId="23" fillId="41" borderId="42" xfId="66" applyFont="1" applyFill="1" applyBorder="1" applyAlignment="1">
      <alignment horizontal="center" vertical="center" wrapText="1"/>
      <protection/>
    </xf>
    <xf numFmtId="0" fontId="23" fillId="41" borderId="43" xfId="66" applyFont="1" applyFill="1" applyBorder="1" applyAlignment="1">
      <alignment horizontal="center" vertical="center" wrapText="1"/>
      <protection/>
    </xf>
    <xf numFmtId="0" fontId="23" fillId="41" borderId="44" xfId="66" applyFont="1" applyFill="1" applyBorder="1" applyAlignment="1">
      <alignment horizontal="center" vertical="center" wrapText="1"/>
      <protection/>
    </xf>
    <xf numFmtId="0" fontId="23" fillId="41" borderId="45" xfId="66" applyFont="1" applyFill="1" applyBorder="1" applyAlignment="1">
      <alignment horizontal="center" vertical="center" wrapText="1"/>
      <protection/>
    </xf>
    <xf numFmtId="0" fontId="23" fillId="41" borderId="46" xfId="66"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1"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55"/>
          <c:w val="0.991"/>
          <c:h val="0.9775"/>
        </c:manualLayout>
      </c:layout>
      <c:barChart>
        <c:barDir val="col"/>
        <c:grouping val="clustered"/>
        <c:varyColors val="0"/>
        <c:ser>
          <c:idx val="0"/>
          <c:order val="0"/>
          <c:tx>
            <c:v>年間予想発電量</c:v>
          </c:tx>
          <c:spPr>
            <a:solidFill>
              <a:srgbClr val="7F9A48"/>
            </a:solidFill>
            <a:ln w="3175">
              <a:solidFill>
                <a:srgbClr val="8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[0]!Nensu3</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[0]!forecast</c:f>
              <c:numCache>
                <c:ptCount val="20"/>
                <c:pt idx="0">
                  <c:v>68812.9425847753</c:v>
                </c:pt>
                <c:pt idx="1">
                  <c:v>68812.9425847753</c:v>
                </c:pt>
                <c:pt idx="2">
                  <c:v>68812.9425847753</c:v>
                </c:pt>
                <c:pt idx="3">
                  <c:v>68812.9425847753</c:v>
                </c:pt>
                <c:pt idx="4">
                  <c:v>68812.9425847753</c:v>
                </c:pt>
                <c:pt idx="5">
                  <c:v>68812.9425847753</c:v>
                </c:pt>
                <c:pt idx="6">
                  <c:v>68812.9425847753</c:v>
                </c:pt>
                <c:pt idx="7">
                  <c:v>68812.9425847753</c:v>
                </c:pt>
                <c:pt idx="8">
                  <c:v>68812.9425847753</c:v>
                </c:pt>
                <c:pt idx="9">
                  <c:v>68812.9425847753</c:v>
                </c:pt>
                <c:pt idx="10">
                  <c:v>68812.9425847753</c:v>
                </c:pt>
                <c:pt idx="11">
                  <c:v>68812.9425847753</c:v>
                </c:pt>
                <c:pt idx="12">
                  <c:v>68812.9425847753</c:v>
                </c:pt>
                <c:pt idx="13">
                  <c:v>68812.9425847753</c:v>
                </c:pt>
                <c:pt idx="14">
                  <c:v>68812.9425847753</c:v>
                </c:pt>
                <c:pt idx="15">
                  <c:v>68812.9425847753</c:v>
                </c:pt>
                <c:pt idx="16">
                  <c:v>68812.9425847753</c:v>
                </c:pt>
                <c:pt idx="17">
                  <c:v>68812.9425847753</c:v>
                </c:pt>
                <c:pt idx="18">
                  <c:v>68812.9425847753</c:v>
                </c:pt>
                <c:pt idx="19">
                  <c:v>68812.9425847753</c:v>
                </c:pt>
              </c:numCache>
            </c:numRef>
          </c:val>
        </c:ser>
        <c:axId val="58238105"/>
        <c:axId val="54380898"/>
      </c:barChart>
      <c:lineChart>
        <c:grouping val="standard"/>
        <c:varyColors val="0"/>
        <c:ser>
          <c:idx val="2"/>
          <c:order val="1"/>
          <c:tx>
            <c:v>累計予想発電量</c:v>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[0]!cumulate_forecast</c:f>
              <c:numCache>
                <c:ptCount val="20"/>
                <c:pt idx="0">
                  <c:v>68812.9425847753</c:v>
                </c:pt>
                <c:pt idx="1">
                  <c:v>137625.8851695506</c:v>
                </c:pt>
                <c:pt idx="2">
                  <c:v>206438.8277543259</c:v>
                </c:pt>
                <c:pt idx="3">
                  <c:v>275251.7703391012</c:v>
                </c:pt>
                <c:pt idx="4">
                  <c:v>344064.7129238765</c:v>
                </c:pt>
                <c:pt idx="5">
                  <c:v>412877.65550865175</c:v>
                </c:pt>
                <c:pt idx="6">
                  <c:v>481690.598093427</c:v>
                </c:pt>
                <c:pt idx="7">
                  <c:v>550503.5406782023</c:v>
                </c:pt>
                <c:pt idx="8">
                  <c:v>619316.4832629776</c:v>
                </c:pt>
                <c:pt idx="9">
                  <c:v>688129.4258477528</c:v>
                </c:pt>
                <c:pt idx="10">
                  <c:v>756942.3684325281</c:v>
                </c:pt>
                <c:pt idx="11">
                  <c:v>825755.3110173034</c:v>
                </c:pt>
                <c:pt idx="12">
                  <c:v>894568.2536020787</c:v>
                </c:pt>
                <c:pt idx="13">
                  <c:v>963381.1961868539</c:v>
                </c:pt>
                <c:pt idx="14">
                  <c:v>1032194.1387716292</c:v>
                </c:pt>
                <c:pt idx="15">
                  <c:v>1101007.0813564046</c:v>
                </c:pt>
                <c:pt idx="16">
                  <c:v>1169820.02394118</c:v>
                </c:pt>
                <c:pt idx="17">
                  <c:v>1238632.9665259554</c:v>
                </c:pt>
                <c:pt idx="18">
                  <c:v>1307445.9091107307</c:v>
                </c:pt>
                <c:pt idx="19">
                  <c:v>1376258.8516955061</c:v>
                </c:pt>
              </c:numCache>
            </c:numRef>
          </c:val>
          <c:smooth val="0"/>
        </c:ser>
        <c:axId val="19666035"/>
        <c:axId val="42776588"/>
      </c:lineChart>
      <c:catAx>
        <c:axId val="58238105"/>
        <c:scaling>
          <c:orientation val="minMax"/>
        </c:scaling>
        <c:axPos val="b"/>
        <c:delete val="0"/>
        <c:numFmt formatCode="General" sourceLinked="1"/>
        <c:majorTickMark val="none"/>
        <c:minorTickMark val="none"/>
        <c:tickLblPos val="nextTo"/>
        <c:spPr>
          <a:ln w="3175">
            <a:solidFill>
              <a:srgbClr val="808080"/>
            </a:solidFill>
          </a:ln>
        </c:spPr>
        <c:crossAx val="54380898"/>
        <c:crosses val="autoZero"/>
        <c:auto val="1"/>
        <c:lblOffset val="100"/>
        <c:tickLblSkip val="1"/>
        <c:noMultiLvlLbl val="0"/>
      </c:catAx>
      <c:valAx>
        <c:axId val="54380898"/>
        <c:scaling>
          <c:orientation val="minMax"/>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58238105"/>
        <c:crossesAt val="1"/>
        <c:crossBetween val="between"/>
        <c:dispUnits/>
      </c:valAx>
      <c:catAx>
        <c:axId val="19666035"/>
        <c:scaling>
          <c:orientation val="minMax"/>
        </c:scaling>
        <c:axPos val="b"/>
        <c:delete val="1"/>
        <c:majorTickMark val="out"/>
        <c:minorTickMark val="none"/>
        <c:tickLblPos val="nextTo"/>
        <c:crossAx val="42776588"/>
        <c:crosses val="autoZero"/>
        <c:auto val="1"/>
        <c:lblOffset val="100"/>
        <c:tickLblSkip val="1"/>
        <c:noMultiLvlLbl val="0"/>
      </c:catAx>
      <c:valAx>
        <c:axId val="4277658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19666035"/>
        <c:crosses val="max"/>
        <c:crossBetween val="between"/>
        <c:dispUnits/>
      </c:valAx>
      <c:dTable>
        <c:showHorzBorder val="1"/>
        <c:showVertBorder val="1"/>
        <c:showOutline val="1"/>
        <c:showKeys val="1"/>
        <c:spPr>
          <a:ln w="3175">
            <a:solidFill>
              <a:srgbClr val="808080"/>
            </a:solidFill>
          </a:ln>
        </c:spPr>
        <c:txPr>
          <a:bodyPr vert="horz" rot="0"/>
          <a:lstStyle/>
          <a:p>
            <a:pPr>
              <a:defRPr lang="en-US" cap="none" sz="650" b="0" i="0" u="none" baseline="0">
                <a:solidFill>
                  <a:srgbClr val="000000"/>
                </a:solidFill>
              </a:defRPr>
            </a:pPr>
          </a:p>
        </c:txPr>
      </c:dTable>
      <c:spPr>
        <a:solidFill>
          <a:srgbClr val="EFF3EA"/>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パワーカーブグラフ</a:t>
            </a:r>
          </a:p>
        </c:rich>
      </c:tx>
      <c:layout>
        <c:manualLayout>
          <c:xMode val="factor"/>
          <c:yMode val="factor"/>
          <c:x val="-0.00675"/>
          <c:y val="-0.01375"/>
        </c:manualLayout>
      </c:layout>
      <c:spPr>
        <a:noFill/>
        <a:ln>
          <a:noFill/>
        </a:ln>
      </c:spPr>
    </c:title>
    <c:plotArea>
      <c:layout>
        <c:manualLayout>
          <c:xMode val="edge"/>
          <c:yMode val="edge"/>
          <c:x val="0.05225"/>
          <c:y val="0.072"/>
          <c:w val="0.92875"/>
          <c:h val="0.863"/>
        </c:manualLayout>
      </c:layout>
      <c:scatterChart>
        <c:scatterStyle val="smoothMarker"/>
        <c:varyColors val="0"/>
        <c:ser>
          <c:idx val="0"/>
          <c:order val="0"/>
          <c:tx>
            <c:strRef>
              <c:f>Datasheet!$A$46</c:f>
              <c:strCache>
                <c:ptCount val="1"/>
                <c:pt idx="0">
                  <c:v>パワーカーブ(kW）</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12700">
                  <a:solidFill>
                    <a:srgbClr val="000000"/>
                  </a:solidFill>
                </a:ln>
              </c:spPr>
              <c:showLegendKey val="0"/>
              <c:showVal val="1"/>
              <c:showBubbleSize val="0"/>
              <c:showCatName val="0"/>
              <c:showSerName val="0"/>
              <c:showPercent val="0"/>
            </c:dLbl>
            <c:numFmt formatCode="General" sourceLinked="1"/>
            <c:spPr>
              <a:solidFill>
                <a:srgbClr val="FFFFFF"/>
              </a:solidFill>
              <a:ln w="12700">
                <a:solidFill>
                  <a:srgbClr val="000000"/>
                </a:solidFill>
              </a:ln>
            </c:spPr>
            <c:showLegendKey val="0"/>
            <c:showVal val="1"/>
            <c:showBubbleSize val="0"/>
            <c:showCatName val="0"/>
            <c:showSerName val="0"/>
            <c:showPercent val="0"/>
          </c:dLbls>
          <c:xVal>
            <c:strRef>
              <c:f>Datasheet!$B$45:$U$45</c:f>
              <c:strCache>
                <c:ptCount val="20"/>
                <c:pt idx="0">
                  <c:v>1s/m</c:v>
                </c:pt>
                <c:pt idx="1">
                  <c:v>2s/m</c:v>
                </c:pt>
                <c:pt idx="2">
                  <c:v>3s/m</c:v>
                </c:pt>
                <c:pt idx="3">
                  <c:v>4s/m</c:v>
                </c:pt>
                <c:pt idx="4">
                  <c:v>5s/m</c:v>
                </c:pt>
                <c:pt idx="5">
                  <c:v>6s/m</c:v>
                </c:pt>
                <c:pt idx="6">
                  <c:v>7s/m</c:v>
                </c:pt>
                <c:pt idx="7">
                  <c:v>8s/m</c:v>
                </c:pt>
                <c:pt idx="8">
                  <c:v>9s/m</c:v>
                </c:pt>
                <c:pt idx="9">
                  <c:v>10s/m</c:v>
                </c:pt>
                <c:pt idx="10">
                  <c:v>11s/m</c:v>
                </c:pt>
                <c:pt idx="11">
                  <c:v>12s/m</c:v>
                </c:pt>
                <c:pt idx="12">
                  <c:v>13s/m</c:v>
                </c:pt>
                <c:pt idx="13">
                  <c:v>14s/m</c:v>
                </c:pt>
                <c:pt idx="14">
                  <c:v>15s/m</c:v>
                </c:pt>
                <c:pt idx="15">
                  <c:v>16s/m</c:v>
                </c:pt>
                <c:pt idx="16">
                  <c:v>17s/m</c:v>
                </c:pt>
                <c:pt idx="17">
                  <c:v>18s/m</c:v>
                </c:pt>
                <c:pt idx="18">
                  <c:v>19s/m</c:v>
                </c:pt>
                <c:pt idx="19">
                  <c:v>20s/m</c:v>
                </c:pt>
              </c:strCache>
            </c:strRef>
          </c:xVal>
          <c:yVal>
            <c:numRef>
              <c:f>Datasheet!$B$46:$U$46</c:f>
              <c:numCache>
                <c:ptCount val="20"/>
                <c:pt idx="0">
                  <c:v>0</c:v>
                </c:pt>
                <c:pt idx="1">
                  <c:v>0</c:v>
                </c:pt>
                <c:pt idx="2">
                  <c:v>0.449</c:v>
                </c:pt>
                <c:pt idx="3">
                  <c:v>2.247</c:v>
                </c:pt>
                <c:pt idx="4">
                  <c:v>5.281</c:v>
                </c:pt>
                <c:pt idx="5">
                  <c:v>10</c:v>
                </c:pt>
                <c:pt idx="6">
                  <c:v>14.944</c:v>
                </c:pt>
                <c:pt idx="7">
                  <c:v>18.034</c:v>
                </c:pt>
                <c:pt idx="8">
                  <c:v>19.213</c:v>
                </c:pt>
                <c:pt idx="9">
                  <c:v>19.382</c:v>
                </c:pt>
                <c:pt idx="10">
                  <c:v>19.382</c:v>
                </c:pt>
                <c:pt idx="11">
                  <c:v>19.382</c:v>
                </c:pt>
                <c:pt idx="12">
                  <c:v>19.382</c:v>
                </c:pt>
                <c:pt idx="13">
                  <c:v>19.382</c:v>
                </c:pt>
                <c:pt idx="14">
                  <c:v>19.382</c:v>
                </c:pt>
                <c:pt idx="15">
                  <c:v>19.382</c:v>
                </c:pt>
                <c:pt idx="16">
                  <c:v>19.382</c:v>
                </c:pt>
                <c:pt idx="17">
                  <c:v>19.382</c:v>
                </c:pt>
                <c:pt idx="18">
                  <c:v>19.382</c:v>
                </c:pt>
                <c:pt idx="19">
                  <c:v>19.382</c:v>
                </c:pt>
              </c:numCache>
            </c:numRef>
          </c:yVal>
          <c:smooth val="1"/>
        </c:ser>
        <c:axId val="49444973"/>
        <c:axId val="42351574"/>
      </c:scatterChart>
      <c:valAx>
        <c:axId val="49444973"/>
        <c:scaling>
          <c:orientation val="minMax"/>
        </c:scaling>
        <c:axPos val="b"/>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351574"/>
        <c:crosses val="autoZero"/>
        <c:crossBetween val="midCat"/>
        <c:dispUnits/>
        <c:majorUnit val="1"/>
      </c:valAx>
      <c:valAx>
        <c:axId val="42351574"/>
        <c:scaling>
          <c:orientation val="minMax"/>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444973"/>
        <c:crosses val="autoZero"/>
        <c:crossBetween val="midCat"/>
        <c:dispUnits/>
        <c:minorUnit val="0.5"/>
      </c:valAx>
      <c:spPr>
        <a:solidFill>
          <a:srgbClr val="FDEADA"/>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xdr:colOff>
      <xdr:row>43</xdr:row>
      <xdr:rowOff>0</xdr:rowOff>
    </xdr:from>
    <xdr:to>
      <xdr:col>16</xdr:col>
      <xdr:colOff>352425</xdr:colOff>
      <xdr:row>44</xdr:row>
      <xdr:rowOff>133350</xdr:rowOff>
    </xdr:to>
    <xdr:pic>
      <xdr:nvPicPr>
        <xdr:cNvPr id="1" name="SolarMasterLogo"/>
        <xdr:cNvPicPr preferRelativeResize="1">
          <a:picLocks noChangeAspect="1"/>
        </xdr:cNvPicPr>
      </xdr:nvPicPr>
      <xdr:blipFill>
        <a:blip r:embed="rId1"/>
        <a:stretch>
          <a:fillRect/>
        </a:stretch>
      </xdr:blipFill>
      <xdr:spPr>
        <a:xfrm>
          <a:off x="7477125" y="7105650"/>
          <a:ext cx="27813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5</xdr:row>
      <xdr:rowOff>114300</xdr:rowOff>
    </xdr:from>
    <xdr:to>
      <xdr:col>16</xdr:col>
      <xdr:colOff>561975</xdr:colOff>
      <xdr:row>19</xdr:row>
      <xdr:rowOff>104775</xdr:rowOff>
    </xdr:to>
    <xdr:pic>
      <xdr:nvPicPr>
        <xdr:cNvPr id="1" name="Picture 165"/>
        <xdr:cNvPicPr preferRelativeResize="1">
          <a:picLocks noChangeAspect="0"/>
        </xdr:cNvPicPr>
      </xdr:nvPicPr>
      <xdr:blipFill>
        <a:blip r:embed="rId1"/>
        <a:stretch>
          <a:fillRect/>
        </a:stretch>
      </xdr:blipFill>
      <xdr:spPr>
        <a:xfrm>
          <a:off x="6781800" y="914400"/>
          <a:ext cx="3562350" cy="2657475"/>
        </a:xfrm>
        <a:prstGeom prst="rect">
          <a:avLst/>
        </a:prstGeom>
        <a:noFill/>
        <a:ln w="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95250</xdr:rowOff>
    </xdr:from>
    <xdr:to>
      <xdr:col>16</xdr:col>
      <xdr:colOff>19050</xdr:colOff>
      <xdr:row>45</xdr:row>
      <xdr:rowOff>123825</xdr:rowOff>
    </xdr:to>
    <xdr:graphicFrame>
      <xdr:nvGraphicFramePr>
        <xdr:cNvPr id="1" name="グラフ 3"/>
        <xdr:cNvGraphicFramePr/>
      </xdr:nvGraphicFramePr>
      <xdr:xfrm>
        <a:off x="314325" y="5114925"/>
        <a:ext cx="11010900" cy="2619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47625</xdr:rowOff>
    </xdr:from>
    <xdr:to>
      <xdr:col>16</xdr:col>
      <xdr:colOff>419100</xdr:colOff>
      <xdr:row>44</xdr:row>
      <xdr:rowOff>0</xdr:rowOff>
    </xdr:to>
    <xdr:graphicFrame>
      <xdr:nvGraphicFramePr>
        <xdr:cNvPr id="1" name="グラフ 2"/>
        <xdr:cNvGraphicFramePr/>
      </xdr:nvGraphicFramePr>
      <xdr:xfrm>
        <a:off x="228600" y="723900"/>
        <a:ext cx="10067925" cy="642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showGridLines="0" zoomScale="90" zoomScaleNormal="90" zoomScalePageLayoutView="0" workbookViewId="0" topLeftCell="A1">
      <selection activeCell="A3" sqref="A3:F5"/>
    </sheetView>
  </sheetViews>
  <sheetFormatPr defaultColWidth="9.140625" defaultRowHeight="12.75"/>
  <cols>
    <col min="1" max="17" width="9.28125" style="183" customWidth="1"/>
    <col min="18" max="16384" width="9.140625" style="183" customWidth="1"/>
  </cols>
  <sheetData>
    <row r="1" spans="1:17" ht="12.75">
      <c r="A1" s="118"/>
      <c r="B1" s="97"/>
      <c r="C1" s="97"/>
      <c r="D1" s="97"/>
      <c r="E1" s="97"/>
      <c r="F1" s="97"/>
      <c r="G1" s="97"/>
      <c r="H1" s="97"/>
      <c r="I1" s="97"/>
      <c r="J1" s="97"/>
      <c r="K1" s="97"/>
      <c r="L1" s="97"/>
      <c r="M1" s="97"/>
      <c r="N1" s="97"/>
      <c r="O1" s="97"/>
      <c r="P1" s="97"/>
      <c r="Q1" s="199"/>
    </row>
    <row r="2" spans="1:17" ht="12.75">
      <c r="A2" s="114"/>
      <c r="B2" s="47"/>
      <c r="C2" s="47"/>
      <c r="D2" s="47"/>
      <c r="E2" s="47"/>
      <c r="F2" s="47"/>
      <c r="G2" s="47"/>
      <c r="H2" s="47"/>
      <c r="I2" s="47"/>
      <c r="J2" s="47"/>
      <c r="K2" s="47"/>
      <c r="L2" s="47"/>
      <c r="M2" s="47"/>
      <c r="N2" s="47"/>
      <c r="O2" s="47"/>
      <c r="P2" s="47"/>
      <c r="Q2" s="178"/>
    </row>
    <row r="3" spans="1:17" ht="13.5" customHeight="1">
      <c r="A3" s="217">
        <f>IF(Datasheet!B3="","",Datasheet!B3)</f>
      </c>
      <c r="B3" s="218"/>
      <c r="C3" s="218"/>
      <c r="D3" s="218"/>
      <c r="E3" s="218"/>
      <c r="F3" s="218"/>
      <c r="G3" s="47"/>
      <c r="H3" s="47"/>
      <c r="I3" s="47"/>
      <c r="J3" s="47"/>
      <c r="K3" s="47"/>
      <c r="L3" s="47"/>
      <c r="M3" s="47"/>
      <c r="N3" s="47"/>
      <c r="O3" s="47"/>
      <c r="P3" s="47"/>
      <c r="Q3" s="178"/>
    </row>
    <row r="4" spans="1:17" ht="13.5" customHeight="1">
      <c r="A4" s="217"/>
      <c r="B4" s="218"/>
      <c r="C4" s="218"/>
      <c r="D4" s="218"/>
      <c r="E4" s="218"/>
      <c r="F4" s="218"/>
      <c r="G4" s="47"/>
      <c r="H4" s="47"/>
      <c r="I4" s="47"/>
      <c r="J4" s="47"/>
      <c r="K4" s="47"/>
      <c r="L4" s="47"/>
      <c r="M4" s="47"/>
      <c r="N4" s="47"/>
      <c r="O4" s="47"/>
      <c r="P4" s="47"/>
      <c r="Q4" s="178"/>
    </row>
    <row r="5" spans="1:17" ht="13.5" thickBot="1">
      <c r="A5" s="219"/>
      <c r="B5" s="220"/>
      <c r="C5" s="220"/>
      <c r="D5" s="220"/>
      <c r="E5" s="220"/>
      <c r="F5" s="220"/>
      <c r="G5" s="47"/>
      <c r="H5" s="47"/>
      <c r="I5" s="47"/>
      <c r="J5" s="47"/>
      <c r="K5" s="47"/>
      <c r="L5" s="47"/>
      <c r="M5" s="47"/>
      <c r="N5" s="47"/>
      <c r="O5" s="47"/>
      <c r="P5" s="47"/>
      <c r="Q5" s="178"/>
    </row>
    <row r="6" spans="1:17" ht="12.75">
      <c r="A6" s="114"/>
      <c r="B6" s="47"/>
      <c r="C6" s="47"/>
      <c r="D6" s="47"/>
      <c r="E6" s="47"/>
      <c r="F6" s="47"/>
      <c r="G6" s="47"/>
      <c r="H6" s="47"/>
      <c r="I6" s="47"/>
      <c r="J6" s="47"/>
      <c r="K6" s="47"/>
      <c r="L6" s="47"/>
      <c r="M6" s="47"/>
      <c r="N6" s="47"/>
      <c r="O6" s="47"/>
      <c r="P6" s="47"/>
      <c r="Q6" s="178"/>
    </row>
    <row r="7" spans="1:17" ht="12.75">
      <c r="A7" s="114"/>
      <c r="B7" s="47"/>
      <c r="C7" s="47"/>
      <c r="D7" s="47"/>
      <c r="E7" s="47"/>
      <c r="F7" s="47"/>
      <c r="G7" s="47"/>
      <c r="H7" s="47"/>
      <c r="I7" s="47"/>
      <c r="J7" s="47"/>
      <c r="K7" s="47"/>
      <c r="L7" s="47"/>
      <c r="M7" s="47"/>
      <c r="N7" s="47"/>
      <c r="O7" s="47"/>
      <c r="P7" s="47"/>
      <c r="Q7" s="178"/>
    </row>
    <row r="8" spans="1:17" ht="12.75">
      <c r="A8" s="114"/>
      <c r="B8" s="47"/>
      <c r="C8" s="47"/>
      <c r="D8" s="47"/>
      <c r="E8" s="47"/>
      <c r="F8" s="47"/>
      <c r="G8" s="47"/>
      <c r="H8" s="47"/>
      <c r="I8" s="47"/>
      <c r="J8" s="47"/>
      <c r="K8" s="47"/>
      <c r="L8" s="47"/>
      <c r="M8" s="47"/>
      <c r="N8" s="47"/>
      <c r="O8" s="47"/>
      <c r="P8" s="47"/>
      <c r="Q8" s="178"/>
    </row>
    <row r="9" spans="1:17" ht="12.75">
      <c r="A9" s="114"/>
      <c r="B9" s="47"/>
      <c r="C9" s="47"/>
      <c r="D9" s="47"/>
      <c r="E9" s="47"/>
      <c r="F9" s="47"/>
      <c r="G9" s="47"/>
      <c r="H9" s="47"/>
      <c r="I9" s="47"/>
      <c r="J9" s="47"/>
      <c r="K9" s="47"/>
      <c r="L9" s="47"/>
      <c r="M9" s="47"/>
      <c r="N9" s="47"/>
      <c r="O9" s="47"/>
      <c r="P9" s="47"/>
      <c r="Q9" s="178"/>
    </row>
    <row r="10" spans="1:17" ht="12.75">
      <c r="A10" s="114"/>
      <c r="B10" s="47"/>
      <c r="C10" s="47"/>
      <c r="D10" s="47"/>
      <c r="E10" s="47"/>
      <c r="F10" s="47"/>
      <c r="G10" s="47"/>
      <c r="H10" s="47"/>
      <c r="I10" s="47"/>
      <c r="J10" s="47"/>
      <c r="K10" s="47"/>
      <c r="L10" s="47"/>
      <c r="M10" s="47"/>
      <c r="N10" s="47"/>
      <c r="O10" s="47"/>
      <c r="P10" s="47"/>
      <c r="Q10" s="178"/>
    </row>
    <row r="11" spans="1:17" ht="12.75">
      <c r="A11" s="114"/>
      <c r="B11" s="47"/>
      <c r="C11" s="47"/>
      <c r="D11" s="47"/>
      <c r="E11" s="47"/>
      <c r="F11" s="47"/>
      <c r="G11" s="47"/>
      <c r="H11" s="47"/>
      <c r="I11" s="47"/>
      <c r="J11" s="47"/>
      <c r="K11" s="47"/>
      <c r="L11" s="47"/>
      <c r="M11" s="47"/>
      <c r="N11" s="47"/>
      <c r="O11" s="47"/>
      <c r="P11" s="47"/>
      <c r="Q11" s="178"/>
    </row>
    <row r="12" spans="1:17" ht="12.75">
      <c r="A12" s="114"/>
      <c r="B12" s="47"/>
      <c r="C12" s="47"/>
      <c r="D12" s="47"/>
      <c r="E12" s="47"/>
      <c r="F12" s="47"/>
      <c r="G12" s="47"/>
      <c r="H12" s="47"/>
      <c r="I12" s="47"/>
      <c r="J12" s="47"/>
      <c r="K12" s="47"/>
      <c r="L12" s="47"/>
      <c r="M12" s="47"/>
      <c r="N12" s="47"/>
      <c r="O12" s="47"/>
      <c r="P12" s="47"/>
      <c r="Q12" s="178"/>
    </row>
    <row r="13" spans="1:17" ht="12.75">
      <c r="A13" s="114"/>
      <c r="B13" s="47"/>
      <c r="C13" s="47"/>
      <c r="D13" s="47"/>
      <c r="E13" s="47"/>
      <c r="F13" s="47"/>
      <c r="G13" s="47"/>
      <c r="H13" s="47"/>
      <c r="I13" s="47"/>
      <c r="J13" s="47"/>
      <c r="K13" s="47"/>
      <c r="L13" s="47"/>
      <c r="M13" s="47"/>
      <c r="N13" s="47"/>
      <c r="O13" s="47"/>
      <c r="P13" s="47"/>
      <c r="Q13" s="178"/>
    </row>
    <row r="14" spans="1:17" ht="12.75">
      <c r="A14" s="114"/>
      <c r="B14" s="47"/>
      <c r="C14" s="47"/>
      <c r="D14" s="47"/>
      <c r="E14" s="47"/>
      <c r="F14" s="47"/>
      <c r="G14" s="47"/>
      <c r="H14" s="47"/>
      <c r="I14" s="47"/>
      <c r="J14" s="47"/>
      <c r="K14" s="47"/>
      <c r="L14" s="47"/>
      <c r="M14" s="47"/>
      <c r="N14" s="47"/>
      <c r="O14" s="47"/>
      <c r="P14" s="47"/>
      <c r="Q14" s="178"/>
    </row>
    <row r="15" spans="1:17" ht="13.5" customHeight="1">
      <c r="A15" s="114"/>
      <c r="B15" s="47"/>
      <c r="C15" s="47"/>
      <c r="D15" s="47"/>
      <c r="E15" s="221" t="s">
        <v>4</v>
      </c>
      <c r="F15" s="221"/>
      <c r="G15" s="221"/>
      <c r="H15" s="221"/>
      <c r="I15" s="221"/>
      <c r="J15" s="221"/>
      <c r="K15" s="221"/>
      <c r="L15" s="221"/>
      <c r="M15" s="221"/>
      <c r="N15" s="47"/>
      <c r="O15" s="47"/>
      <c r="P15" s="47"/>
      <c r="Q15" s="178"/>
    </row>
    <row r="16" spans="1:17" ht="13.5" customHeight="1">
      <c r="A16" s="114"/>
      <c r="B16" s="47"/>
      <c r="C16" s="47"/>
      <c r="D16" s="47"/>
      <c r="E16" s="222"/>
      <c r="F16" s="222"/>
      <c r="G16" s="222"/>
      <c r="H16" s="222"/>
      <c r="I16" s="222"/>
      <c r="J16" s="222"/>
      <c r="K16" s="222"/>
      <c r="L16" s="222"/>
      <c r="M16" s="222"/>
      <c r="N16" s="47"/>
      <c r="O16" s="47"/>
      <c r="P16" s="47"/>
      <c r="Q16" s="178"/>
    </row>
    <row r="17" spans="1:17" ht="14.25" customHeight="1" thickBot="1">
      <c r="A17" s="114"/>
      <c r="B17" s="47"/>
      <c r="C17" s="47"/>
      <c r="D17" s="47"/>
      <c r="E17" s="223"/>
      <c r="F17" s="223"/>
      <c r="G17" s="223"/>
      <c r="H17" s="223"/>
      <c r="I17" s="223"/>
      <c r="J17" s="223"/>
      <c r="K17" s="223"/>
      <c r="L17" s="223"/>
      <c r="M17" s="223"/>
      <c r="N17" s="47"/>
      <c r="O17" s="47"/>
      <c r="P17" s="47"/>
      <c r="Q17" s="178"/>
    </row>
    <row r="18" spans="1:17" ht="13.5" thickTop="1">
      <c r="A18" s="114"/>
      <c r="B18" s="47"/>
      <c r="C18" s="47"/>
      <c r="D18" s="47"/>
      <c r="E18" s="47"/>
      <c r="F18" s="47"/>
      <c r="G18" s="47"/>
      <c r="H18" s="47"/>
      <c r="I18" s="47"/>
      <c r="J18" s="47"/>
      <c r="K18" s="47"/>
      <c r="L18" s="47"/>
      <c r="M18" s="47"/>
      <c r="N18" s="47"/>
      <c r="O18" s="47"/>
      <c r="P18" s="47"/>
      <c r="Q18" s="178"/>
    </row>
    <row r="19" spans="1:17" ht="12.75">
      <c r="A19" s="114"/>
      <c r="B19" s="47"/>
      <c r="C19" s="47"/>
      <c r="D19" s="47"/>
      <c r="E19" s="47"/>
      <c r="F19" s="47"/>
      <c r="G19" s="47"/>
      <c r="H19" s="47"/>
      <c r="I19" s="47"/>
      <c r="J19" s="47"/>
      <c r="K19" s="47"/>
      <c r="L19" s="47"/>
      <c r="M19" s="47"/>
      <c r="N19" s="47"/>
      <c r="O19" s="47"/>
      <c r="P19" s="47"/>
      <c r="Q19" s="178"/>
    </row>
    <row r="20" spans="1:17" ht="12.75">
      <c r="A20" s="114"/>
      <c r="B20" s="47"/>
      <c r="C20" s="47"/>
      <c r="D20" s="47"/>
      <c r="E20" s="47"/>
      <c r="F20" s="47"/>
      <c r="G20" s="47"/>
      <c r="H20" s="47"/>
      <c r="I20" s="47"/>
      <c r="J20" s="47"/>
      <c r="K20" s="47"/>
      <c r="L20" s="47"/>
      <c r="M20" s="47"/>
      <c r="N20" s="47"/>
      <c r="O20" s="47"/>
      <c r="P20" s="47"/>
      <c r="Q20" s="178"/>
    </row>
    <row r="21" spans="1:17" ht="12.75">
      <c r="A21" s="114"/>
      <c r="B21" s="47"/>
      <c r="C21" s="47"/>
      <c r="D21" s="47"/>
      <c r="E21" s="47"/>
      <c r="F21" s="47"/>
      <c r="G21" s="47"/>
      <c r="H21" s="47"/>
      <c r="I21" s="47"/>
      <c r="J21" s="47"/>
      <c r="K21" s="47"/>
      <c r="L21" s="47"/>
      <c r="M21" s="47"/>
      <c r="N21" s="47"/>
      <c r="O21" s="47"/>
      <c r="P21" s="47"/>
      <c r="Q21" s="178"/>
    </row>
    <row r="22" spans="1:17" ht="12.75">
      <c r="A22" s="114"/>
      <c r="B22" s="47"/>
      <c r="C22" s="47"/>
      <c r="D22" s="47"/>
      <c r="E22" s="47"/>
      <c r="F22" s="47"/>
      <c r="G22" s="47"/>
      <c r="H22" s="47"/>
      <c r="I22" s="47"/>
      <c r="J22" s="47"/>
      <c r="K22" s="47"/>
      <c r="L22" s="47"/>
      <c r="M22" s="47"/>
      <c r="N22" s="47"/>
      <c r="O22" s="47"/>
      <c r="P22" s="47"/>
      <c r="Q22" s="178"/>
    </row>
    <row r="23" spans="1:17" ht="12.75">
      <c r="A23" s="114"/>
      <c r="B23" s="47"/>
      <c r="C23" s="47"/>
      <c r="D23" s="47"/>
      <c r="E23" s="47"/>
      <c r="F23" s="47"/>
      <c r="G23" s="47"/>
      <c r="H23" s="47"/>
      <c r="I23" s="47"/>
      <c r="J23" s="47"/>
      <c r="K23" s="47"/>
      <c r="L23" s="47"/>
      <c r="M23" s="47"/>
      <c r="N23" s="47"/>
      <c r="O23" s="47"/>
      <c r="P23" s="47"/>
      <c r="Q23" s="178"/>
    </row>
    <row r="24" spans="1:17" ht="12.75">
      <c r="A24" s="114"/>
      <c r="B24" s="47"/>
      <c r="C24" s="47"/>
      <c r="D24" s="47"/>
      <c r="E24" s="47"/>
      <c r="F24" s="47"/>
      <c r="G24" s="47"/>
      <c r="H24" s="47"/>
      <c r="I24" s="47"/>
      <c r="J24" s="47"/>
      <c r="K24" s="47"/>
      <c r="L24" s="47"/>
      <c r="M24" s="47"/>
      <c r="N24" s="47"/>
      <c r="O24" s="47"/>
      <c r="P24" s="47"/>
      <c r="Q24" s="178"/>
    </row>
    <row r="25" spans="1:17" ht="13.5" customHeight="1">
      <c r="A25" s="114"/>
      <c r="B25" s="47"/>
      <c r="C25" s="47"/>
      <c r="D25" s="47"/>
      <c r="E25" s="47"/>
      <c r="F25" s="47"/>
      <c r="G25" s="224">
        <f>Datasheet!B2</f>
        <v>44697</v>
      </c>
      <c r="H25" s="224"/>
      <c r="I25" s="224"/>
      <c r="J25" s="224"/>
      <c r="K25" s="224"/>
      <c r="L25" s="47"/>
      <c r="M25" s="47"/>
      <c r="N25" s="47"/>
      <c r="O25" s="47"/>
      <c r="P25" s="47"/>
      <c r="Q25" s="178"/>
    </row>
    <row r="26" spans="1:17" ht="13.5" customHeight="1">
      <c r="A26" s="114"/>
      <c r="B26" s="47"/>
      <c r="C26" s="47"/>
      <c r="D26" s="47"/>
      <c r="E26" s="47"/>
      <c r="F26" s="47"/>
      <c r="G26" s="224"/>
      <c r="H26" s="224"/>
      <c r="I26" s="224"/>
      <c r="J26" s="224"/>
      <c r="K26" s="224"/>
      <c r="L26" s="47"/>
      <c r="M26" s="47"/>
      <c r="N26" s="47"/>
      <c r="O26" s="47"/>
      <c r="P26" s="47"/>
      <c r="Q26" s="178"/>
    </row>
    <row r="27" spans="1:17" ht="12.75">
      <c r="A27" s="114"/>
      <c r="B27" s="47"/>
      <c r="C27" s="47"/>
      <c r="D27" s="47"/>
      <c r="E27" s="47"/>
      <c r="F27" s="47"/>
      <c r="G27" s="47"/>
      <c r="H27" s="47"/>
      <c r="I27" s="47"/>
      <c r="J27" s="47"/>
      <c r="K27" s="47"/>
      <c r="L27" s="47"/>
      <c r="M27" s="47"/>
      <c r="N27" s="47"/>
      <c r="O27" s="47"/>
      <c r="P27" s="47"/>
      <c r="Q27" s="178"/>
    </row>
    <row r="28" spans="1:17" ht="12.75">
      <c r="A28" s="114"/>
      <c r="B28" s="47"/>
      <c r="C28" s="47"/>
      <c r="D28" s="47"/>
      <c r="E28" s="47"/>
      <c r="F28" s="47"/>
      <c r="G28" s="47"/>
      <c r="H28" s="47"/>
      <c r="I28" s="47"/>
      <c r="J28" s="47"/>
      <c r="K28" s="47"/>
      <c r="L28" s="47"/>
      <c r="M28" s="47"/>
      <c r="N28" s="47"/>
      <c r="O28" s="47"/>
      <c r="P28" s="47"/>
      <c r="Q28" s="178"/>
    </row>
    <row r="29" spans="1:17" ht="12.75">
      <c r="A29" s="114"/>
      <c r="B29" s="47"/>
      <c r="C29" s="47"/>
      <c r="D29" s="47"/>
      <c r="E29" s="47"/>
      <c r="F29" s="47"/>
      <c r="G29" s="47"/>
      <c r="H29" s="47"/>
      <c r="I29" s="47"/>
      <c r="J29" s="47"/>
      <c r="K29" s="47"/>
      <c r="L29" s="47"/>
      <c r="M29" s="47"/>
      <c r="N29" s="47"/>
      <c r="O29" s="47"/>
      <c r="P29" s="47"/>
      <c r="Q29" s="178"/>
    </row>
    <row r="30" spans="1:17" ht="12.75">
      <c r="A30" s="114"/>
      <c r="B30" s="47"/>
      <c r="C30" s="47"/>
      <c r="D30" s="47"/>
      <c r="E30" s="47"/>
      <c r="F30" s="47"/>
      <c r="G30" s="47"/>
      <c r="H30" s="47"/>
      <c r="I30" s="47"/>
      <c r="J30" s="47"/>
      <c r="K30" s="47"/>
      <c r="L30" s="47"/>
      <c r="M30" s="47"/>
      <c r="N30" s="47"/>
      <c r="O30" s="47"/>
      <c r="P30" s="47"/>
      <c r="Q30" s="178"/>
    </row>
    <row r="31" spans="1:17" ht="12.75">
      <c r="A31" s="114"/>
      <c r="B31" s="47"/>
      <c r="C31" s="47"/>
      <c r="D31" s="47"/>
      <c r="E31" s="47"/>
      <c r="F31" s="47"/>
      <c r="G31" s="47"/>
      <c r="H31" s="47"/>
      <c r="I31" s="47"/>
      <c r="J31" s="47"/>
      <c r="K31" s="47"/>
      <c r="L31" s="47"/>
      <c r="M31" s="47"/>
      <c r="N31" s="47"/>
      <c r="O31" s="47"/>
      <c r="P31" s="47"/>
      <c r="Q31" s="178"/>
    </row>
    <row r="32" spans="1:17" ht="12.75">
      <c r="A32" s="114"/>
      <c r="B32" s="47"/>
      <c r="C32" s="47"/>
      <c r="D32" s="47"/>
      <c r="E32" s="47"/>
      <c r="F32" s="47"/>
      <c r="G32" s="47"/>
      <c r="H32" s="47"/>
      <c r="I32" s="47"/>
      <c r="J32" s="47"/>
      <c r="K32" s="47"/>
      <c r="L32" s="47"/>
      <c r="M32" s="47"/>
      <c r="N32" s="47"/>
      <c r="O32" s="47"/>
      <c r="P32" s="47"/>
      <c r="Q32" s="178"/>
    </row>
    <row r="33" spans="1:17" ht="12.75">
      <c r="A33" s="114"/>
      <c r="B33" s="47"/>
      <c r="C33" s="47"/>
      <c r="D33" s="47"/>
      <c r="E33" s="47"/>
      <c r="F33" s="47"/>
      <c r="G33" s="47"/>
      <c r="H33" s="47"/>
      <c r="I33" s="47"/>
      <c r="J33" s="47"/>
      <c r="K33" s="47"/>
      <c r="L33" s="47"/>
      <c r="M33" s="47"/>
      <c r="N33" s="47"/>
      <c r="O33" s="47"/>
      <c r="P33" s="47"/>
      <c r="Q33" s="178"/>
    </row>
    <row r="34" spans="1:17" ht="12.75">
      <c r="A34" s="114"/>
      <c r="B34" s="47"/>
      <c r="C34" s="47"/>
      <c r="D34" s="47"/>
      <c r="E34" s="47"/>
      <c r="F34" s="47"/>
      <c r="G34" s="47"/>
      <c r="H34" s="47"/>
      <c r="I34" s="47"/>
      <c r="J34" s="47"/>
      <c r="K34" s="47"/>
      <c r="L34" s="47"/>
      <c r="M34" s="47"/>
      <c r="N34" s="47"/>
      <c r="O34" s="47"/>
      <c r="P34" s="47"/>
      <c r="Q34" s="178"/>
    </row>
    <row r="35" spans="1:17" ht="13.5" customHeight="1">
      <c r="A35" s="114"/>
      <c r="B35" s="47"/>
      <c r="C35" s="47"/>
      <c r="D35" s="47"/>
      <c r="E35" s="225">
        <f>IF(Datasheet!B4="","",Datasheet!B4)</f>
      </c>
      <c r="F35" s="225"/>
      <c r="G35" s="225"/>
      <c r="H35" s="225"/>
      <c r="I35" s="225"/>
      <c r="J35" s="225"/>
      <c r="K35" s="225"/>
      <c r="L35" s="225"/>
      <c r="M35" s="225"/>
      <c r="N35" s="47"/>
      <c r="O35" s="47"/>
      <c r="P35" s="47"/>
      <c r="Q35" s="178"/>
    </row>
    <row r="36" spans="1:17" ht="13.5" customHeight="1">
      <c r="A36" s="114"/>
      <c r="B36" s="47"/>
      <c r="C36" s="47"/>
      <c r="D36" s="47"/>
      <c r="E36" s="225"/>
      <c r="F36" s="225"/>
      <c r="G36" s="225"/>
      <c r="H36" s="225"/>
      <c r="I36" s="225"/>
      <c r="J36" s="225"/>
      <c r="K36" s="225"/>
      <c r="L36" s="225"/>
      <c r="M36" s="225"/>
      <c r="N36" s="47"/>
      <c r="O36" s="47"/>
      <c r="P36" s="47"/>
      <c r="Q36" s="178"/>
    </row>
    <row r="37" spans="1:17" ht="13.5" customHeight="1">
      <c r="A37" s="114"/>
      <c r="B37" s="47"/>
      <c r="C37" s="47"/>
      <c r="D37" s="47"/>
      <c r="E37" s="225"/>
      <c r="F37" s="225"/>
      <c r="G37" s="225"/>
      <c r="H37" s="225"/>
      <c r="I37" s="225"/>
      <c r="J37" s="225"/>
      <c r="K37" s="225"/>
      <c r="L37" s="225"/>
      <c r="M37" s="225"/>
      <c r="N37" s="47"/>
      <c r="O37" s="47"/>
      <c r="P37" s="47"/>
      <c r="Q37" s="178"/>
    </row>
    <row r="38" spans="1:17" ht="14.25" customHeight="1" thickBot="1">
      <c r="A38" s="114"/>
      <c r="B38" s="47"/>
      <c r="C38" s="47"/>
      <c r="D38" s="47"/>
      <c r="E38" s="226"/>
      <c r="F38" s="226"/>
      <c r="G38" s="226"/>
      <c r="H38" s="226"/>
      <c r="I38" s="226"/>
      <c r="J38" s="226"/>
      <c r="K38" s="226"/>
      <c r="L38" s="226"/>
      <c r="M38" s="226"/>
      <c r="N38" s="47"/>
      <c r="O38" s="47"/>
      <c r="P38" s="47"/>
      <c r="Q38" s="178"/>
    </row>
    <row r="39" spans="1:17" ht="12.75">
      <c r="A39" s="114"/>
      <c r="B39" s="47"/>
      <c r="C39" s="47"/>
      <c r="D39" s="47"/>
      <c r="E39" s="47"/>
      <c r="F39" s="47"/>
      <c r="G39" s="47"/>
      <c r="H39" s="47"/>
      <c r="I39" s="47"/>
      <c r="J39" s="47"/>
      <c r="K39" s="47"/>
      <c r="L39" s="47"/>
      <c r="M39" s="47"/>
      <c r="N39" s="47"/>
      <c r="O39" s="47"/>
      <c r="P39" s="47"/>
      <c r="Q39" s="178"/>
    </row>
    <row r="40" spans="1:17" ht="12.75">
      <c r="A40" s="114"/>
      <c r="B40" s="47"/>
      <c r="C40" s="47"/>
      <c r="D40" s="47"/>
      <c r="E40" s="47"/>
      <c r="F40" s="47"/>
      <c r="G40" s="47"/>
      <c r="H40" s="47"/>
      <c r="I40" s="47"/>
      <c r="J40" s="47"/>
      <c r="K40" s="47"/>
      <c r="L40" s="47"/>
      <c r="M40" s="47"/>
      <c r="N40" s="47"/>
      <c r="O40" s="47"/>
      <c r="P40" s="47"/>
      <c r="Q40" s="178"/>
    </row>
    <row r="41" spans="1:17" ht="12.75">
      <c r="A41" s="114"/>
      <c r="B41" s="47"/>
      <c r="C41" s="47"/>
      <c r="D41" s="47"/>
      <c r="E41" s="47"/>
      <c r="F41" s="47"/>
      <c r="G41" s="47"/>
      <c r="H41" s="47"/>
      <c r="I41" s="47"/>
      <c r="J41" s="47"/>
      <c r="K41" s="47"/>
      <c r="L41" s="47"/>
      <c r="M41" s="47"/>
      <c r="N41" s="47"/>
      <c r="O41" s="47"/>
      <c r="P41" s="47"/>
      <c r="Q41" s="178"/>
    </row>
    <row r="42" spans="1:17" ht="12.75">
      <c r="A42" s="114"/>
      <c r="B42" s="47"/>
      <c r="C42" s="47"/>
      <c r="D42" s="47"/>
      <c r="E42" s="47"/>
      <c r="F42" s="47"/>
      <c r="G42" s="47"/>
      <c r="H42" s="47"/>
      <c r="I42" s="47"/>
      <c r="J42" s="47"/>
      <c r="K42" s="47"/>
      <c r="L42" s="47"/>
      <c r="M42" s="47"/>
      <c r="N42" s="47"/>
      <c r="O42" s="47"/>
      <c r="P42" s="47"/>
      <c r="Q42" s="178"/>
    </row>
    <row r="43" spans="1:17" ht="12.75">
      <c r="A43" s="114"/>
      <c r="B43" s="47"/>
      <c r="C43" s="47"/>
      <c r="D43" s="47"/>
      <c r="E43" s="47"/>
      <c r="F43" s="47"/>
      <c r="G43" s="47"/>
      <c r="H43" s="47"/>
      <c r="I43" s="47"/>
      <c r="J43" s="47"/>
      <c r="K43" s="47"/>
      <c r="L43" s="47"/>
      <c r="M43" s="47"/>
      <c r="N43" s="47"/>
      <c r="O43" s="47"/>
      <c r="P43" s="47"/>
      <c r="Q43" s="178"/>
    </row>
    <row r="44" spans="1:17" ht="13.5">
      <c r="A44" s="114"/>
      <c r="B44" s="47"/>
      <c r="C44" s="47"/>
      <c r="D44" s="47"/>
      <c r="E44" s="47"/>
      <c r="F44" s="47"/>
      <c r="G44" s="47"/>
      <c r="H44" s="47"/>
      <c r="I44" s="47"/>
      <c r="J44" s="47"/>
      <c r="K44" s="47"/>
      <c r="L44" s="47"/>
      <c r="M44" s="47"/>
      <c r="N44" s="47"/>
      <c r="O44" s="47"/>
      <c r="P44" s="47"/>
      <c r="Q44" s="178"/>
    </row>
    <row r="45" spans="1:17" ht="13.5">
      <c r="A45" s="104"/>
      <c r="B45" s="207"/>
      <c r="C45" s="207"/>
      <c r="D45" s="207"/>
      <c r="E45" s="207"/>
      <c r="F45" s="207"/>
      <c r="G45" s="207"/>
      <c r="H45" s="207"/>
      <c r="I45" s="207"/>
      <c r="J45" s="207"/>
      <c r="K45" s="207"/>
      <c r="L45" s="207"/>
      <c r="M45" s="207"/>
      <c r="N45" s="207"/>
      <c r="O45" s="207"/>
      <c r="P45" s="207"/>
      <c r="Q45" s="115"/>
    </row>
  </sheetData>
  <sheetProtection/>
  <mergeCells count="4">
    <mergeCell ref="A3:F5"/>
    <mergeCell ref="E15:M17"/>
    <mergeCell ref="G25:K26"/>
    <mergeCell ref="E35:M38"/>
  </mergeCells>
  <printOptions horizontalCentered="1" verticalCentered="1"/>
  <pageMargins left="0" right="0" top="0" bottom="0" header="0" footer="0"/>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41"/>
  <sheetViews>
    <sheetView showGridLines="0" zoomScalePageLayoutView="0" workbookViewId="0" topLeftCell="A1">
      <selection activeCell="A1" sqref="A1:G3"/>
    </sheetView>
  </sheetViews>
  <sheetFormatPr defaultColWidth="9.140625" defaultRowHeight="12.75"/>
  <cols>
    <col min="1" max="1" width="4.57421875" style="183" customWidth="1"/>
    <col min="2" max="3" width="9.28125" style="183" customWidth="1"/>
    <col min="4" max="4" width="12.57421875" style="183" customWidth="1"/>
    <col min="5" max="5" width="10.140625" style="183" bestFit="1" customWidth="1"/>
    <col min="6" max="7" width="9.28125" style="183" customWidth="1"/>
    <col min="8" max="17" width="9.140625" style="183" customWidth="1"/>
    <col min="18" max="18" width="4.57421875" style="183" customWidth="1"/>
    <col min="19" max="16384" width="9.140625" style="183" customWidth="1"/>
  </cols>
  <sheetData>
    <row r="1" spans="1:18" ht="13.5" customHeight="1">
      <c r="A1" s="237" t="s">
        <v>262</v>
      </c>
      <c r="B1" s="238"/>
      <c r="C1" s="238"/>
      <c r="D1" s="238"/>
      <c r="E1" s="238"/>
      <c r="F1" s="238"/>
      <c r="G1" s="238"/>
      <c r="H1" s="135"/>
      <c r="I1" s="244">
        <f>IF(Datasheet!B4="","",Datasheet!B4)</f>
      </c>
      <c r="J1" s="244"/>
      <c r="K1" s="244"/>
      <c r="L1" s="244"/>
      <c r="M1" s="244"/>
      <c r="N1" s="244"/>
      <c r="O1" s="244"/>
      <c r="P1" s="244"/>
      <c r="Q1" s="244"/>
      <c r="R1" s="245"/>
    </row>
    <row r="2" spans="1:18" ht="13.5" customHeight="1">
      <c r="A2" s="239"/>
      <c r="B2" s="240"/>
      <c r="C2" s="240"/>
      <c r="D2" s="240"/>
      <c r="E2" s="240"/>
      <c r="F2" s="240"/>
      <c r="G2" s="240"/>
      <c r="H2" s="87"/>
      <c r="I2" s="246"/>
      <c r="J2" s="246"/>
      <c r="K2" s="246"/>
      <c r="L2" s="246"/>
      <c r="M2" s="246"/>
      <c r="N2" s="246"/>
      <c r="O2" s="246"/>
      <c r="P2" s="246"/>
      <c r="Q2" s="246"/>
      <c r="R2" s="247"/>
    </row>
    <row r="3" spans="1:18" ht="13.5" customHeight="1">
      <c r="A3" s="241"/>
      <c r="B3" s="242"/>
      <c r="C3" s="242"/>
      <c r="D3" s="242"/>
      <c r="E3" s="242"/>
      <c r="F3" s="242"/>
      <c r="G3" s="242"/>
      <c r="H3" s="39"/>
      <c r="I3" s="248"/>
      <c r="J3" s="248"/>
      <c r="K3" s="248"/>
      <c r="L3" s="248"/>
      <c r="M3" s="248"/>
      <c r="N3" s="248"/>
      <c r="O3" s="248"/>
      <c r="P3" s="248"/>
      <c r="Q3" s="248"/>
      <c r="R3" s="249"/>
    </row>
    <row r="4" spans="1:18" ht="7.5" customHeight="1">
      <c r="A4" s="118"/>
      <c r="B4" s="47"/>
      <c r="C4" s="47"/>
      <c r="D4" s="47"/>
      <c r="E4" s="47"/>
      <c r="F4" s="47"/>
      <c r="G4" s="47"/>
      <c r="H4" s="47"/>
      <c r="I4" s="47"/>
      <c r="J4" s="47"/>
      <c r="K4" s="47"/>
      <c r="L4" s="47"/>
      <c r="M4" s="47"/>
      <c r="N4" s="47"/>
      <c r="O4" s="47"/>
      <c r="P4" s="47"/>
      <c r="Q4" s="47"/>
      <c r="R4" s="178"/>
    </row>
    <row r="5" spans="1:18" ht="15" customHeight="1" thickBot="1">
      <c r="A5" s="114"/>
      <c r="B5" s="250" t="s">
        <v>325</v>
      </c>
      <c r="C5" s="251"/>
      <c r="D5" s="251"/>
      <c r="E5" s="251"/>
      <c r="F5" s="252"/>
      <c r="G5" s="47"/>
      <c r="H5" s="47"/>
      <c r="I5" s="47"/>
      <c r="J5" s="47"/>
      <c r="K5" s="47"/>
      <c r="L5" s="47"/>
      <c r="M5" s="47"/>
      <c r="N5" s="47"/>
      <c r="O5" s="47"/>
      <c r="P5" s="47"/>
      <c r="Q5" s="47"/>
      <c r="R5" s="178"/>
    </row>
    <row r="6" spans="1:18" ht="15" customHeight="1">
      <c r="A6" s="114"/>
      <c r="B6" s="253"/>
      <c r="C6" s="254"/>
      <c r="D6" s="254"/>
      <c r="E6" s="254"/>
      <c r="F6" s="255"/>
      <c r="G6" s="47"/>
      <c r="H6" s="47"/>
      <c r="I6" s="47"/>
      <c r="J6" s="47"/>
      <c r="K6" s="47"/>
      <c r="L6" s="156"/>
      <c r="M6" s="123"/>
      <c r="N6" s="123"/>
      <c r="O6" s="123"/>
      <c r="P6" s="123"/>
      <c r="Q6" s="112"/>
      <c r="R6" s="178"/>
    </row>
    <row r="7" spans="1:18" ht="15" customHeight="1">
      <c r="A7" s="114"/>
      <c r="B7" s="47"/>
      <c r="C7" s="47"/>
      <c r="D7" s="47"/>
      <c r="E7" s="47"/>
      <c r="F7" s="47"/>
      <c r="G7" s="47"/>
      <c r="H7" s="47"/>
      <c r="I7" s="47"/>
      <c r="J7" s="47"/>
      <c r="K7" s="47"/>
      <c r="L7" s="32"/>
      <c r="M7" s="194"/>
      <c r="N7" s="194"/>
      <c r="O7" s="194"/>
      <c r="P7" s="194"/>
      <c r="Q7" s="89"/>
      <c r="R7" s="178"/>
    </row>
    <row r="8" spans="1:18" ht="15" customHeight="1">
      <c r="A8" s="114"/>
      <c r="B8" s="243" t="s">
        <v>50</v>
      </c>
      <c r="C8" s="243"/>
      <c r="D8" s="243" t="str">
        <f>IF(OR(Datasheet!B5="",Datasheet!B5=0),"",Datasheet!B5)</f>
        <v>秋田県山本郡三種町浜田大平</v>
      </c>
      <c r="E8" s="243"/>
      <c r="F8" s="243"/>
      <c r="G8" s="243"/>
      <c r="H8" s="243"/>
      <c r="I8" s="243"/>
      <c r="J8" s="243"/>
      <c r="K8" s="47"/>
      <c r="L8" s="32"/>
      <c r="M8" s="194"/>
      <c r="N8" s="194"/>
      <c r="O8" s="194"/>
      <c r="P8" s="194"/>
      <c r="Q8" s="89"/>
      <c r="R8" s="178"/>
    </row>
    <row r="9" spans="1:18" ht="15" customHeight="1">
      <c r="A9" s="114"/>
      <c r="B9" s="47"/>
      <c r="C9" s="47"/>
      <c r="D9" s="47"/>
      <c r="E9" s="47"/>
      <c r="F9" s="47"/>
      <c r="G9" s="47"/>
      <c r="H9" s="47"/>
      <c r="I9" s="47"/>
      <c r="J9" s="47"/>
      <c r="K9" s="47"/>
      <c r="L9" s="32"/>
      <c r="M9" s="194"/>
      <c r="N9" s="194"/>
      <c r="O9" s="194"/>
      <c r="P9" s="194"/>
      <c r="Q9" s="89"/>
      <c r="R9" s="178"/>
    </row>
    <row r="10" spans="1:18" ht="15" customHeight="1">
      <c r="A10" s="114"/>
      <c r="C10" s="256" t="s">
        <v>200</v>
      </c>
      <c r="D10" s="257"/>
      <c r="E10" s="235">
        <f>IF(OR(Datasheet!B6="",Datasheet!B6=0),"",Datasheet!B6)</f>
        <v>40.1053065695317</v>
      </c>
      <c r="F10" s="236"/>
      <c r="G10" s="256" t="s">
        <v>168</v>
      </c>
      <c r="H10" s="257"/>
      <c r="I10" s="235">
        <f>IF(OR(Datasheet!B7="",Datasheet!B7=0),"",Datasheet!B7)</f>
        <v>139.97006364205</v>
      </c>
      <c r="J10" s="236"/>
      <c r="K10" s="47"/>
      <c r="L10" s="32"/>
      <c r="M10" s="194"/>
      <c r="N10" s="194"/>
      <c r="O10" s="194"/>
      <c r="P10" s="194"/>
      <c r="Q10" s="89"/>
      <c r="R10" s="178"/>
    </row>
    <row r="11" spans="1:18" ht="15" customHeight="1">
      <c r="A11" s="114"/>
      <c r="F11" s="83"/>
      <c r="G11" s="83"/>
      <c r="H11" s="72"/>
      <c r="I11" s="72"/>
      <c r="J11" s="208"/>
      <c r="K11" s="47"/>
      <c r="L11" s="32"/>
      <c r="M11" s="194"/>
      <c r="N11" s="194"/>
      <c r="O11" s="194"/>
      <c r="P11" s="194"/>
      <c r="Q11" s="89"/>
      <c r="R11" s="178"/>
    </row>
    <row r="12" spans="1:18" ht="15" customHeight="1">
      <c r="A12" s="114"/>
      <c r="C12" s="233" t="s">
        <v>295</v>
      </c>
      <c r="D12" s="234"/>
      <c r="E12" s="233" t="s">
        <v>10</v>
      </c>
      <c r="F12" s="234"/>
      <c r="G12" s="233" t="s">
        <v>36</v>
      </c>
      <c r="H12" s="234"/>
      <c r="I12" s="233" t="s">
        <v>332</v>
      </c>
      <c r="J12" s="234"/>
      <c r="K12" s="47"/>
      <c r="L12" s="32"/>
      <c r="M12" s="194"/>
      <c r="N12" s="194"/>
      <c r="O12" s="194"/>
      <c r="P12" s="194"/>
      <c r="Q12" s="89"/>
      <c r="R12" s="178"/>
    </row>
    <row r="13" spans="1:18" ht="15" customHeight="1">
      <c r="A13" s="114"/>
      <c r="C13" s="233" t="s">
        <v>237</v>
      </c>
      <c r="D13" s="234"/>
      <c r="E13" s="235">
        <f>IF(OR(Datasheet!B27="",Datasheet!B27=0),"",Datasheet!B27)</f>
        <v>6.4</v>
      </c>
      <c r="F13" s="236"/>
      <c r="G13" s="235">
        <f>IF(OR(Datasheet!B28="",Datasheet!B28=0),"",Datasheet!B28)</f>
        <v>1.9078</v>
      </c>
      <c r="H13" s="236"/>
      <c r="I13" s="235">
        <f>IF(OR(Datasheet!B29="",Datasheet!B29=0),"",Datasheet!B29)</f>
        <v>7.0874</v>
      </c>
      <c r="J13" s="236"/>
      <c r="L13" s="32"/>
      <c r="M13" s="194"/>
      <c r="N13" s="194"/>
      <c r="O13" s="194"/>
      <c r="P13" s="194"/>
      <c r="Q13" s="89"/>
      <c r="R13" s="178"/>
    </row>
    <row r="14" spans="1:18" ht="15" customHeight="1">
      <c r="A14" s="114"/>
      <c r="C14" s="233" t="s">
        <v>150</v>
      </c>
      <c r="D14" s="234"/>
      <c r="E14" s="235">
        <f>IF(OR(Datasheet!C27="",Datasheet!C27=0),"",Datasheet!C27)</f>
        <v>7</v>
      </c>
      <c r="F14" s="236"/>
      <c r="G14" s="235">
        <f>IF(OR(Datasheet!C28="",Datasheet!C28=0),"",Datasheet!C28)</f>
        <v>1.9245</v>
      </c>
      <c r="H14" s="236"/>
      <c r="I14" s="235">
        <f>IF(OR(Datasheet!C29="",Datasheet!C29=0),"",Datasheet!C29)</f>
        <v>7.6967</v>
      </c>
      <c r="J14" s="236"/>
      <c r="K14" s="47"/>
      <c r="L14" s="32"/>
      <c r="M14" s="194"/>
      <c r="N14" s="194"/>
      <c r="O14" s="194"/>
      <c r="P14" s="194"/>
      <c r="Q14" s="89"/>
      <c r="R14" s="178"/>
    </row>
    <row r="15" spans="1:18" ht="15" customHeight="1">
      <c r="A15" s="114"/>
      <c r="C15" s="233" t="s">
        <v>60</v>
      </c>
      <c r="D15" s="234"/>
      <c r="E15" s="235">
        <f>IF(OR(Datasheet!D27="",Datasheet!D27=0),"",Datasheet!D27)</f>
        <v>7.4</v>
      </c>
      <c r="F15" s="236"/>
      <c r="G15" s="235">
        <f>IF(OR(Datasheet!D28="",Datasheet!D28=0),"",Datasheet!D28)</f>
        <v>1.9236</v>
      </c>
      <c r="H15" s="236"/>
      <c r="I15" s="235">
        <f>IF(OR(Datasheet!D29="",Datasheet!D29=0),"",Datasheet!D29)</f>
        <v>8.1583</v>
      </c>
      <c r="J15" s="236"/>
      <c r="K15" s="47"/>
      <c r="L15" s="189"/>
      <c r="M15" s="23"/>
      <c r="N15" s="23"/>
      <c r="O15" s="23"/>
      <c r="P15" s="194"/>
      <c r="Q15" s="89"/>
      <c r="R15" s="178"/>
    </row>
    <row r="16" spans="1:18" ht="15" customHeight="1">
      <c r="A16" s="114"/>
      <c r="C16" s="47" t="s">
        <v>128</v>
      </c>
      <c r="D16" s="47"/>
      <c r="E16" s="47"/>
      <c r="F16" s="47"/>
      <c r="G16" s="47"/>
      <c r="H16" s="47"/>
      <c r="I16" s="47"/>
      <c r="J16" s="47"/>
      <c r="K16" s="47"/>
      <c r="L16" s="189"/>
      <c r="M16" s="23"/>
      <c r="N16" s="67"/>
      <c r="O16" s="23"/>
      <c r="P16" s="194"/>
      <c r="Q16" s="89"/>
      <c r="R16" s="178"/>
    </row>
    <row r="17" spans="1:18" ht="15" customHeight="1">
      <c r="A17" s="114"/>
      <c r="C17" s="47"/>
      <c r="D17" s="47"/>
      <c r="E17" s="47"/>
      <c r="F17" s="47"/>
      <c r="G17" s="47"/>
      <c r="H17" s="47"/>
      <c r="I17" s="47"/>
      <c r="J17" s="47"/>
      <c r="K17" s="47"/>
      <c r="L17" s="189"/>
      <c r="M17" s="23"/>
      <c r="N17" s="67"/>
      <c r="O17" s="23"/>
      <c r="P17" s="194"/>
      <c r="Q17" s="89"/>
      <c r="R17" s="178"/>
    </row>
    <row r="18" spans="1:18" ht="15" customHeight="1">
      <c r="A18" s="114"/>
      <c r="C18" s="47"/>
      <c r="D18" s="47"/>
      <c r="E18" s="47"/>
      <c r="F18" s="47"/>
      <c r="G18" s="47"/>
      <c r="H18" s="47"/>
      <c r="I18" s="47"/>
      <c r="J18" s="47"/>
      <c r="K18" s="47"/>
      <c r="L18" s="189"/>
      <c r="M18" s="23"/>
      <c r="N18" s="67"/>
      <c r="O18" s="23"/>
      <c r="P18" s="194"/>
      <c r="Q18" s="89"/>
      <c r="R18" s="178"/>
    </row>
    <row r="19" spans="1:18" ht="15" customHeight="1">
      <c r="A19" s="114"/>
      <c r="C19" s="47"/>
      <c r="D19" s="47"/>
      <c r="E19" s="47"/>
      <c r="F19" s="47"/>
      <c r="G19" s="47"/>
      <c r="H19" s="47"/>
      <c r="I19" s="47"/>
      <c r="J19" s="47"/>
      <c r="K19" s="47"/>
      <c r="L19" s="189"/>
      <c r="M19" s="23"/>
      <c r="N19" s="67"/>
      <c r="O19" s="23"/>
      <c r="P19" s="194"/>
      <c r="Q19" s="89"/>
      <c r="R19" s="178"/>
    </row>
    <row r="20" spans="1:18" ht="15" customHeight="1" thickBot="1">
      <c r="A20" s="114"/>
      <c r="B20" s="83"/>
      <c r="C20" s="83"/>
      <c r="D20" s="83"/>
      <c r="E20" s="83"/>
      <c r="F20" s="83"/>
      <c r="G20" s="83"/>
      <c r="H20" s="83"/>
      <c r="I20" s="83"/>
      <c r="J20" s="83"/>
      <c r="K20" s="47"/>
      <c r="L20" s="10"/>
      <c r="M20" s="181"/>
      <c r="N20" s="181"/>
      <c r="O20" s="181"/>
      <c r="P20" s="147"/>
      <c r="Q20" s="94"/>
      <c r="R20" s="178"/>
    </row>
    <row r="21" spans="1:18" ht="15" customHeight="1">
      <c r="A21" s="114"/>
      <c r="B21" s="47"/>
      <c r="C21" s="47"/>
      <c r="D21" s="47"/>
      <c r="E21" s="47"/>
      <c r="F21" s="47"/>
      <c r="G21" s="47"/>
      <c r="H21" s="47"/>
      <c r="I21" s="47"/>
      <c r="J21" s="47"/>
      <c r="K21" s="47"/>
      <c r="L21" s="47"/>
      <c r="M21" s="47"/>
      <c r="N21" s="47"/>
      <c r="O21" s="47"/>
      <c r="P21" s="47"/>
      <c r="Q21" s="47"/>
      <c r="R21" s="178"/>
    </row>
    <row r="22" spans="1:18" ht="15" customHeight="1">
      <c r="A22" s="114"/>
      <c r="B22" s="227" t="s">
        <v>26</v>
      </c>
      <c r="C22" s="228"/>
      <c r="D22" s="228"/>
      <c r="E22" s="228"/>
      <c r="F22" s="229"/>
      <c r="G22" s="47"/>
      <c r="H22" s="47"/>
      <c r="I22" s="47"/>
      <c r="J22" s="47"/>
      <c r="K22" s="47"/>
      <c r="L22" s="47"/>
      <c r="M22" s="23"/>
      <c r="N22" s="79"/>
      <c r="O22" s="79"/>
      <c r="P22" s="47"/>
      <c r="Q22" s="47"/>
      <c r="R22" s="178"/>
    </row>
    <row r="23" spans="1:18" ht="15" customHeight="1">
      <c r="A23" s="114"/>
      <c r="B23" s="230"/>
      <c r="C23" s="231"/>
      <c r="D23" s="231"/>
      <c r="E23" s="231"/>
      <c r="F23" s="232"/>
      <c r="G23" s="47"/>
      <c r="H23" s="47"/>
      <c r="I23" s="47"/>
      <c r="J23" s="47"/>
      <c r="K23" s="47"/>
      <c r="L23" s="47"/>
      <c r="M23" s="23"/>
      <c r="N23" s="79"/>
      <c r="O23" s="79"/>
      <c r="P23" s="47"/>
      <c r="Q23" s="47"/>
      <c r="R23" s="178"/>
    </row>
    <row r="24" spans="1:18" ht="15" customHeight="1">
      <c r="A24" s="114"/>
      <c r="B24" s="29"/>
      <c r="C24" s="29"/>
      <c r="D24" s="29"/>
      <c r="E24" s="29"/>
      <c r="F24" s="29"/>
      <c r="G24" s="47"/>
      <c r="H24" s="47"/>
      <c r="I24" s="47"/>
      <c r="J24" s="47"/>
      <c r="K24" s="47"/>
      <c r="L24" s="47"/>
      <c r="M24" s="23"/>
      <c r="N24" s="79"/>
      <c r="O24" s="79"/>
      <c r="P24" s="47"/>
      <c r="Q24" s="47"/>
      <c r="R24" s="178"/>
    </row>
    <row r="25" spans="1:18" ht="15" customHeight="1">
      <c r="A25" s="114"/>
      <c r="B25" s="185" t="s">
        <v>274</v>
      </c>
      <c r="C25" s="79"/>
      <c r="D25" s="79"/>
      <c r="E25" s="79"/>
      <c r="F25" s="47"/>
      <c r="G25" s="47"/>
      <c r="H25" s="47"/>
      <c r="I25" s="47"/>
      <c r="J25" s="47"/>
      <c r="K25" s="47"/>
      <c r="L25" s="47"/>
      <c r="M25" s="47"/>
      <c r="N25" s="47"/>
      <c r="O25" s="47"/>
      <c r="P25" s="47"/>
      <c r="Q25" s="47"/>
      <c r="R25" s="178"/>
    </row>
    <row r="26" spans="1:18" ht="15" customHeight="1">
      <c r="A26" s="114"/>
      <c r="B26" s="35" t="s">
        <v>296</v>
      </c>
      <c r="C26" s="9"/>
      <c r="D26" s="9"/>
      <c r="E26" s="85" t="str">
        <f>IF(OR(Datasheet!B9="",Datasheet!B9=0),"",Datasheet!B9)</f>
        <v>Shanghai Ghrepower Green Energy</v>
      </c>
      <c r="F26" s="9"/>
      <c r="G26" s="9"/>
      <c r="H26" s="9"/>
      <c r="I26" s="9"/>
      <c r="J26" s="40"/>
      <c r="K26" s="29"/>
      <c r="L26" s="29"/>
      <c r="M26" s="83"/>
      <c r="N26" s="83"/>
      <c r="O26" s="83"/>
      <c r="P26" s="83"/>
      <c r="Q26" s="83"/>
      <c r="R26" s="178"/>
    </row>
    <row r="27" spans="1:18" ht="15" customHeight="1">
      <c r="A27" s="114"/>
      <c r="B27" s="80" t="s">
        <v>228</v>
      </c>
      <c r="C27" s="29"/>
      <c r="D27" s="29"/>
      <c r="E27" s="85" t="str">
        <f>IF(OR(Datasheet!B10="",Datasheet!B10=0),"",Datasheet!B10)</f>
        <v>FD16-19.2</v>
      </c>
      <c r="F27" s="29"/>
      <c r="G27" s="29"/>
      <c r="H27" s="29"/>
      <c r="I27" s="29"/>
      <c r="J27" s="150"/>
      <c r="K27" s="83"/>
      <c r="L27" s="83"/>
      <c r="M27" s="83"/>
      <c r="N27" s="83"/>
      <c r="O27" s="83"/>
      <c r="P27" s="83"/>
      <c r="Q27" s="83"/>
      <c r="R27" s="178"/>
    </row>
    <row r="28" spans="1:18" ht="15" customHeight="1">
      <c r="A28" s="114"/>
      <c r="B28" s="91" t="s">
        <v>12</v>
      </c>
      <c r="C28" s="68"/>
      <c r="D28" s="68"/>
      <c r="E28" s="85" t="str">
        <f>IF(OR(Datasheet!B11="",Datasheet!B11=0),"",Datasheet!B11)</f>
        <v>水平軸アップウインド型</v>
      </c>
      <c r="F28" s="9"/>
      <c r="G28" s="9"/>
      <c r="H28" s="9"/>
      <c r="I28" s="9"/>
      <c r="J28" s="40"/>
      <c r="K28" s="83"/>
      <c r="L28" s="83"/>
      <c r="M28" s="83"/>
      <c r="N28" s="83"/>
      <c r="O28" s="83"/>
      <c r="P28" s="83"/>
      <c r="Q28" s="83"/>
      <c r="R28" s="178"/>
    </row>
    <row r="29" spans="1:18" ht="15" customHeight="1">
      <c r="A29" s="114"/>
      <c r="B29" s="53" t="s">
        <v>137</v>
      </c>
      <c r="C29" s="120"/>
      <c r="D29" s="61"/>
      <c r="E29" s="27">
        <f>IF(OR(Datasheet!B22="",Datasheet!B22=0),"",Datasheet!B22)</f>
        <v>1</v>
      </c>
      <c r="F29" s="120"/>
      <c r="G29" s="120"/>
      <c r="H29" s="120"/>
      <c r="I29" s="120"/>
      <c r="J29" s="61"/>
      <c r="K29" s="83"/>
      <c r="L29" s="83"/>
      <c r="M29" s="145"/>
      <c r="N29" s="145"/>
      <c r="O29" s="145"/>
      <c r="P29" s="47"/>
      <c r="Q29" s="47"/>
      <c r="R29" s="178"/>
    </row>
    <row r="30" spans="1:18" ht="15" customHeight="1">
      <c r="A30" s="114"/>
      <c r="B30" s="91" t="s">
        <v>321</v>
      </c>
      <c r="C30" s="68"/>
      <c r="D30" s="101"/>
      <c r="E30" s="85">
        <f>IF(OR(Datasheet!B12="",Datasheet!B12=0),"",Datasheet!B12/Datasheet!B22)</f>
        <v>19.2</v>
      </c>
      <c r="F30" s="9"/>
      <c r="G30" s="9"/>
      <c r="H30" s="9"/>
      <c r="I30" s="9"/>
      <c r="J30" s="40"/>
      <c r="K30" s="47"/>
      <c r="L30" s="47"/>
      <c r="M30" s="47"/>
      <c r="N30" s="47"/>
      <c r="O30" s="47"/>
      <c r="P30" s="47"/>
      <c r="Q30" s="47"/>
      <c r="R30" s="178"/>
    </row>
    <row r="31" spans="1:18" ht="15" customHeight="1">
      <c r="A31" s="114"/>
      <c r="B31" s="143" t="s">
        <v>241</v>
      </c>
      <c r="E31" s="85">
        <f>IF(OR(Datasheet!B12="",Datasheet!B12=0),"",Datasheet!B12)</f>
        <v>19.2</v>
      </c>
      <c r="F31" s="120"/>
      <c r="G31" s="120"/>
      <c r="H31" s="120"/>
      <c r="I31" s="120"/>
      <c r="J31" s="61"/>
      <c r="K31" s="47"/>
      <c r="L31" s="47"/>
      <c r="M31" s="47"/>
      <c r="N31" s="47"/>
      <c r="O31" s="47"/>
      <c r="P31" s="47"/>
      <c r="Q31" s="47"/>
      <c r="R31" s="178"/>
    </row>
    <row r="32" spans="1:18" ht="15" customHeight="1">
      <c r="A32" s="114"/>
      <c r="B32" s="53" t="s">
        <v>33</v>
      </c>
      <c r="C32" s="64"/>
      <c r="D32" s="64"/>
      <c r="E32" s="85">
        <f>IF(OR(Datasheet!B13="",Datasheet!B13=0),"",Datasheet!B13)</f>
        <v>3</v>
      </c>
      <c r="F32" s="7"/>
      <c r="G32" s="182"/>
      <c r="H32" s="182"/>
      <c r="I32" s="182"/>
      <c r="J32" s="215"/>
      <c r="K32" s="47"/>
      <c r="L32" s="47"/>
      <c r="M32" s="47"/>
      <c r="N32" s="47"/>
      <c r="O32" s="47"/>
      <c r="P32" s="47"/>
      <c r="Q32" s="47"/>
      <c r="R32" s="178"/>
    </row>
    <row r="33" spans="1:18" ht="15" customHeight="1">
      <c r="A33" s="114"/>
      <c r="B33" s="114" t="s">
        <v>328</v>
      </c>
      <c r="C33" s="29"/>
      <c r="D33" s="29"/>
      <c r="E33" s="85">
        <f>IF(OR(Datasheet!B14="",Datasheet!B14=0),"",Datasheet!B14)</f>
        <v>25</v>
      </c>
      <c r="F33" s="14"/>
      <c r="G33" s="29"/>
      <c r="H33" s="29"/>
      <c r="I33" s="29"/>
      <c r="J33" s="119"/>
      <c r="K33" s="47"/>
      <c r="L33" s="47"/>
      <c r="M33" s="47"/>
      <c r="N33" s="47"/>
      <c r="O33" s="47"/>
      <c r="P33" s="47"/>
      <c r="Q33" s="47"/>
      <c r="R33" s="178"/>
    </row>
    <row r="34" spans="1:18" ht="15" customHeight="1">
      <c r="A34" s="114"/>
      <c r="B34" s="35" t="s">
        <v>324</v>
      </c>
      <c r="C34" s="9"/>
      <c r="D34" s="9"/>
      <c r="E34" s="85">
        <f>IF(OR(Datasheet!B15="",Datasheet!B15=0),"",Datasheet!B15)</f>
        <v>176.7</v>
      </c>
      <c r="F34" s="55"/>
      <c r="G34" s="9"/>
      <c r="H34" s="9"/>
      <c r="I34" s="9"/>
      <c r="J34" s="215"/>
      <c r="K34" s="29"/>
      <c r="L34" s="14"/>
      <c r="M34" s="14"/>
      <c r="N34" s="14"/>
      <c r="O34" s="14"/>
      <c r="R34" s="178"/>
    </row>
    <row r="35" spans="1:18" ht="15" customHeight="1">
      <c r="A35" s="114"/>
      <c r="B35" s="114" t="s">
        <v>182</v>
      </c>
      <c r="C35" s="47"/>
      <c r="D35" s="47"/>
      <c r="E35" s="85">
        <f>IF(OR(Datasheet!B16="",Datasheet!B16=0),"",Datasheet!B16)</f>
        <v>7.5</v>
      </c>
      <c r="F35" s="194"/>
      <c r="G35" s="194"/>
      <c r="H35" s="194"/>
      <c r="I35" s="194"/>
      <c r="J35" s="119"/>
      <c r="K35" s="14"/>
      <c r="L35" s="14"/>
      <c r="M35" s="14"/>
      <c r="N35" s="14"/>
      <c r="O35" s="14"/>
      <c r="R35" s="178"/>
    </row>
    <row r="36" spans="1:18" ht="15" customHeight="1">
      <c r="A36" s="114"/>
      <c r="B36" s="35" t="s">
        <v>77</v>
      </c>
      <c r="C36" s="9"/>
      <c r="D36" s="9"/>
      <c r="E36" s="27">
        <f>IF(OR(Datasheet!B17="",Datasheet!B17=0),"",Datasheet!B17)</f>
        <v>3</v>
      </c>
      <c r="F36" s="216"/>
      <c r="G36" s="216"/>
      <c r="H36" s="216"/>
      <c r="I36" s="216"/>
      <c r="J36" s="40"/>
      <c r="K36" s="14"/>
      <c r="L36" s="14"/>
      <c r="M36" s="14"/>
      <c r="N36" s="14"/>
      <c r="O36" s="14"/>
      <c r="P36" s="47"/>
      <c r="Q36" s="47"/>
      <c r="R36" s="178"/>
    </row>
    <row r="37" spans="1:18" ht="15" customHeight="1">
      <c r="A37" s="114"/>
      <c r="B37" s="35" t="s">
        <v>205</v>
      </c>
      <c r="C37" s="9"/>
      <c r="D37" s="9"/>
      <c r="E37" s="85">
        <f>IF(OR(Datasheet!B18="",Datasheet!B18=0),"",Datasheet!B18)</f>
        <v>31.5</v>
      </c>
      <c r="F37" s="59"/>
      <c r="G37" s="216"/>
      <c r="H37" s="216"/>
      <c r="I37" s="216"/>
      <c r="J37" s="34"/>
      <c r="K37" s="14"/>
      <c r="L37" s="14"/>
      <c r="M37" s="14"/>
      <c r="N37" s="14"/>
      <c r="O37" s="14"/>
      <c r="P37" s="47"/>
      <c r="Q37" s="47"/>
      <c r="R37" s="178"/>
    </row>
    <row r="38" spans="1:18" ht="15" customHeight="1">
      <c r="A38" s="114"/>
      <c r="B38" s="35" t="s">
        <v>107</v>
      </c>
      <c r="C38" s="9"/>
      <c r="D38" s="9"/>
      <c r="E38" s="85">
        <f>IF(OR(Datasheet!B25="",Datasheet!B25=0),"",Datasheet!B25)</f>
      </c>
      <c r="F38" s="44"/>
      <c r="G38" s="193"/>
      <c r="H38" s="193"/>
      <c r="I38" s="193"/>
      <c r="J38" s="11"/>
      <c r="K38" s="121"/>
      <c r="L38" s="121"/>
      <c r="M38" s="121"/>
      <c r="N38" s="14"/>
      <c r="O38" s="14"/>
      <c r="P38" s="14"/>
      <c r="Q38" s="14"/>
      <c r="R38" s="178"/>
    </row>
    <row r="39" spans="1:18" ht="15" customHeight="1">
      <c r="A39" s="114"/>
      <c r="B39" s="29"/>
      <c r="C39" s="29"/>
      <c r="D39" s="29"/>
      <c r="E39" s="74"/>
      <c r="F39" s="69"/>
      <c r="G39" s="14"/>
      <c r="H39" s="14"/>
      <c r="I39" s="14"/>
      <c r="J39" s="14"/>
      <c r="K39" s="121"/>
      <c r="L39" s="121"/>
      <c r="M39" s="121"/>
      <c r="N39" s="14"/>
      <c r="O39" s="14"/>
      <c r="P39" s="14"/>
      <c r="Q39" s="14"/>
      <c r="R39" s="178"/>
    </row>
    <row r="40" spans="1:18" ht="15" customHeight="1">
      <c r="A40" s="114"/>
      <c r="B40" s="29"/>
      <c r="C40" s="29"/>
      <c r="D40" s="29"/>
      <c r="E40" s="69"/>
      <c r="F40" s="69"/>
      <c r="G40" s="69"/>
      <c r="H40" s="74"/>
      <c r="I40" s="74"/>
      <c r="J40" s="121"/>
      <c r="K40" s="121"/>
      <c r="L40" s="121"/>
      <c r="M40" s="121"/>
      <c r="N40" s="14"/>
      <c r="O40" s="14"/>
      <c r="P40" s="14"/>
      <c r="Q40" s="14"/>
      <c r="R40" s="178"/>
    </row>
    <row r="41" spans="1:18" ht="15" customHeight="1">
      <c r="A41" s="104"/>
      <c r="B41" s="207"/>
      <c r="C41" s="207"/>
      <c r="D41" s="207"/>
      <c r="E41" s="207"/>
      <c r="F41" s="207"/>
      <c r="G41" s="207"/>
      <c r="H41" s="207"/>
      <c r="I41" s="207"/>
      <c r="J41" s="207"/>
      <c r="K41" s="207"/>
      <c r="L41" s="207"/>
      <c r="M41" s="207"/>
      <c r="N41" s="207"/>
      <c r="O41" s="207"/>
      <c r="P41" s="207"/>
      <c r="Q41" s="207"/>
      <c r="R41" s="115"/>
    </row>
  </sheetData>
  <sheetProtection/>
  <mergeCells count="26">
    <mergeCell ref="I13:J13"/>
    <mergeCell ref="A1:G3"/>
    <mergeCell ref="B8:C8"/>
    <mergeCell ref="D8:J8"/>
    <mergeCell ref="I1:R3"/>
    <mergeCell ref="B5:F6"/>
    <mergeCell ref="G10:H10"/>
    <mergeCell ref="I10:J10"/>
    <mergeCell ref="E10:F10"/>
    <mergeCell ref="C10:D10"/>
    <mergeCell ref="I14:J14"/>
    <mergeCell ref="E15:F15"/>
    <mergeCell ref="G15:H15"/>
    <mergeCell ref="I15:J15"/>
    <mergeCell ref="E14:F14"/>
    <mergeCell ref="G14:H14"/>
    <mergeCell ref="B22:F23"/>
    <mergeCell ref="E12:F12"/>
    <mergeCell ref="G12:H12"/>
    <mergeCell ref="I12:J12"/>
    <mergeCell ref="E13:F13"/>
    <mergeCell ref="G13:H13"/>
    <mergeCell ref="C12:D12"/>
    <mergeCell ref="C13:D13"/>
    <mergeCell ref="C14:D14"/>
    <mergeCell ref="C15:D15"/>
  </mergeCells>
  <printOptions horizontalCentered="1" verticalCentered="1"/>
  <pageMargins left="0" right="0" top="0" bottom="0"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5"/>
  <sheetViews>
    <sheetView showGridLines="0" zoomScalePageLayoutView="0" workbookViewId="0" topLeftCell="A1">
      <selection activeCell="A1" sqref="A1:F3"/>
    </sheetView>
  </sheetViews>
  <sheetFormatPr defaultColWidth="9.140625" defaultRowHeight="12.75"/>
  <cols>
    <col min="1" max="1" width="4.57421875" style="183" customWidth="1"/>
    <col min="2" max="16" width="11.00390625" style="183" customWidth="1"/>
    <col min="17" max="17" width="4.57421875" style="183" customWidth="1"/>
    <col min="18" max="16384" width="9.140625" style="183" customWidth="1"/>
  </cols>
  <sheetData>
    <row r="1" spans="1:17" ht="13.5" customHeight="1">
      <c r="A1" s="237" t="s">
        <v>225</v>
      </c>
      <c r="B1" s="238"/>
      <c r="C1" s="238"/>
      <c r="D1" s="238"/>
      <c r="E1" s="238"/>
      <c r="F1" s="238"/>
      <c r="G1" s="135"/>
      <c r="H1" s="135"/>
      <c r="I1" s="135"/>
      <c r="J1" s="280">
        <f>IF(Datasheet!B4="","",Datasheet!B4)</f>
      </c>
      <c r="K1" s="280"/>
      <c r="L1" s="280"/>
      <c r="M1" s="280"/>
      <c r="N1" s="280"/>
      <c r="O1" s="280"/>
      <c r="P1" s="280"/>
      <c r="Q1" s="281"/>
    </row>
    <row r="2" spans="1:17" ht="13.5" customHeight="1">
      <c r="A2" s="239"/>
      <c r="B2" s="240"/>
      <c r="C2" s="240"/>
      <c r="D2" s="240"/>
      <c r="E2" s="240"/>
      <c r="F2" s="240"/>
      <c r="G2" s="87"/>
      <c r="H2" s="87"/>
      <c r="I2" s="87"/>
      <c r="J2" s="282"/>
      <c r="K2" s="282"/>
      <c r="L2" s="282"/>
      <c r="M2" s="282"/>
      <c r="N2" s="282"/>
      <c r="O2" s="282"/>
      <c r="P2" s="282"/>
      <c r="Q2" s="283"/>
    </row>
    <row r="3" spans="1:17" ht="13.5" customHeight="1">
      <c r="A3" s="241"/>
      <c r="B3" s="242"/>
      <c r="C3" s="242"/>
      <c r="D3" s="242"/>
      <c r="E3" s="242"/>
      <c r="F3" s="242"/>
      <c r="G3" s="39"/>
      <c r="H3" s="39"/>
      <c r="I3" s="39"/>
      <c r="J3" s="284"/>
      <c r="K3" s="284"/>
      <c r="L3" s="284"/>
      <c r="M3" s="284"/>
      <c r="N3" s="284"/>
      <c r="O3" s="284"/>
      <c r="P3" s="284"/>
      <c r="Q3" s="285"/>
    </row>
    <row r="4" spans="1:17" ht="12.75">
      <c r="A4" s="114"/>
      <c r="B4" s="47"/>
      <c r="C4" s="47"/>
      <c r="D4" s="47"/>
      <c r="E4" s="47"/>
      <c r="F4" s="47"/>
      <c r="G4" s="47"/>
      <c r="H4" s="47"/>
      <c r="I4" s="47"/>
      <c r="J4" s="47"/>
      <c r="K4" s="47"/>
      <c r="L4" s="47"/>
      <c r="M4" s="47"/>
      <c r="N4" s="47"/>
      <c r="O4" s="47"/>
      <c r="P4" s="47"/>
      <c r="Q4" s="178"/>
    </row>
    <row r="5" spans="1:17" ht="13.5" customHeight="1">
      <c r="A5" s="114"/>
      <c r="B5" s="250" t="s">
        <v>91</v>
      </c>
      <c r="C5" s="251"/>
      <c r="D5" s="251"/>
      <c r="E5" s="251"/>
      <c r="F5" s="251"/>
      <c r="G5" s="252"/>
      <c r="H5" s="47"/>
      <c r="I5" s="47"/>
      <c r="J5" s="47"/>
      <c r="K5" s="47"/>
      <c r="L5" s="47"/>
      <c r="M5" s="47"/>
      <c r="N5" s="47"/>
      <c r="O5" s="47"/>
      <c r="P5" s="47"/>
      <c r="Q5" s="178"/>
    </row>
    <row r="6" spans="1:17" ht="13.5" customHeight="1">
      <c r="A6" s="114"/>
      <c r="B6" s="253"/>
      <c r="C6" s="254"/>
      <c r="D6" s="254"/>
      <c r="E6" s="254"/>
      <c r="F6" s="254"/>
      <c r="G6" s="255"/>
      <c r="H6" s="47"/>
      <c r="I6" s="47"/>
      <c r="J6" s="47"/>
      <c r="K6" s="47"/>
      <c r="L6" s="47"/>
      <c r="M6" s="47"/>
      <c r="N6" s="47"/>
      <c r="O6" s="47"/>
      <c r="P6" s="47"/>
      <c r="Q6" s="178"/>
    </row>
    <row r="7" spans="1:17" ht="12.75">
      <c r="A7" s="114"/>
      <c r="B7" s="47"/>
      <c r="C7" s="47"/>
      <c r="D7" s="47"/>
      <c r="E7" s="47"/>
      <c r="F7" s="47"/>
      <c r="G7" s="47"/>
      <c r="H7" s="47"/>
      <c r="I7" s="47"/>
      <c r="J7" s="47"/>
      <c r="K7" s="47"/>
      <c r="L7" s="47"/>
      <c r="M7" s="47"/>
      <c r="N7" s="47"/>
      <c r="O7" s="47"/>
      <c r="P7" s="47"/>
      <c r="Q7" s="178"/>
    </row>
    <row r="8" spans="1:17" ht="15" customHeight="1">
      <c r="A8" s="114"/>
      <c r="B8" s="286" t="s">
        <v>125</v>
      </c>
      <c r="C8" s="287"/>
      <c r="E8" s="140" t="s">
        <v>292</v>
      </c>
      <c r="F8" s="5">
        <f>IF(Datasheet!B22="","",Datasheet!B22)</f>
        <v>1</v>
      </c>
      <c r="G8" s="83" t="s">
        <v>298</v>
      </c>
      <c r="H8" s="83"/>
      <c r="I8" s="286" t="s">
        <v>252</v>
      </c>
      <c r="J8" s="287"/>
      <c r="K8" s="88"/>
      <c r="L8" s="83"/>
      <c r="M8" s="83"/>
      <c r="N8" s="47"/>
      <c r="O8" s="47"/>
      <c r="P8" s="47"/>
      <c r="Q8" s="178"/>
    </row>
    <row r="9" spans="1:17" ht="15" customHeight="1">
      <c r="A9" s="114"/>
      <c r="B9" s="279" t="s">
        <v>233</v>
      </c>
      <c r="C9" s="279"/>
      <c r="D9" s="279"/>
      <c r="E9" s="262">
        <f>IF(Datasheet!E27="","",Datasheet!E27)</f>
        <v>6.5</v>
      </c>
      <c r="F9" s="263"/>
      <c r="G9" s="264"/>
      <c r="H9" s="47"/>
      <c r="I9" s="261" t="s">
        <v>208</v>
      </c>
      <c r="J9" s="261"/>
      <c r="K9" s="261"/>
      <c r="L9" s="268">
        <f>IF(Datasheet!B35="","",Datasheet!B35)</f>
        <v>6.53497874745678</v>
      </c>
      <c r="M9" s="269"/>
      <c r="N9" s="270"/>
      <c r="O9" s="47"/>
      <c r="P9" s="47"/>
      <c r="Q9" s="178"/>
    </row>
    <row r="10" spans="1:17" ht="15" customHeight="1">
      <c r="A10" s="114"/>
      <c r="B10" s="261" t="s">
        <v>36</v>
      </c>
      <c r="C10" s="261"/>
      <c r="D10" s="261"/>
      <c r="E10" s="262">
        <f>IF(Datasheet!E28="","",Datasheet!E28)</f>
        <v>1.9078</v>
      </c>
      <c r="F10" s="263"/>
      <c r="G10" s="264"/>
      <c r="H10" s="47"/>
      <c r="I10" s="261" t="s">
        <v>97</v>
      </c>
      <c r="J10" s="261"/>
      <c r="K10" s="261"/>
      <c r="L10" s="274">
        <f>IF(Datasheet!B36="","",Datasheet!B36)</f>
        <v>0</v>
      </c>
      <c r="M10" s="275"/>
      <c r="N10" s="276"/>
      <c r="O10" s="47"/>
      <c r="P10" s="47"/>
      <c r="Q10" s="178"/>
    </row>
    <row r="11" spans="1:17" ht="15" customHeight="1">
      <c r="A11" s="114"/>
      <c r="B11" s="261" t="s">
        <v>100</v>
      </c>
      <c r="C11" s="261"/>
      <c r="D11" s="261"/>
      <c r="E11" s="265">
        <f>IF(Datasheet!B30="","",Datasheet!B30)</f>
        <v>0</v>
      </c>
      <c r="F11" s="266"/>
      <c r="G11" s="267"/>
      <c r="H11" s="47"/>
      <c r="I11" s="261" t="s">
        <v>25</v>
      </c>
      <c r="J11" s="261"/>
      <c r="K11" s="261"/>
      <c r="L11" s="268">
        <f>IF(Datasheet!B37="","",Datasheet!B37)</f>
        <v>10.1619893952787</v>
      </c>
      <c r="M11" s="269"/>
      <c r="N11" s="270"/>
      <c r="O11" s="47"/>
      <c r="P11" s="47"/>
      <c r="Q11" s="178"/>
    </row>
    <row r="12" spans="1:17" ht="15" customHeight="1">
      <c r="A12" s="114"/>
      <c r="B12" s="261" t="s">
        <v>290</v>
      </c>
      <c r="C12" s="261"/>
      <c r="D12" s="261"/>
      <c r="E12" s="268">
        <f>IF(Datasheet!B31="","",Datasheet!B31)</f>
        <v>0.11</v>
      </c>
      <c r="F12" s="269"/>
      <c r="G12" s="270"/>
      <c r="H12" s="47"/>
      <c r="I12" s="261" t="s">
        <v>202</v>
      </c>
      <c r="J12" s="261"/>
      <c r="K12" s="261"/>
      <c r="L12" s="265">
        <f>IF(Datasheet!B38="","",Datasheet!B38)</f>
        <v>188.528609821302</v>
      </c>
      <c r="M12" s="266"/>
      <c r="N12" s="267"/>
      <c r="O12" s="47"/>
      <c r="P12" s="47"/>
      <c r="Q12" s="178"/>
    </row>
    <row r="13" spans="1:17" ht="15" customHeight="1">
      <c r="A13" s="114"/>
      <c r="B13" s="261" t="s">
        <v>144</v>
      </c>
      <c r="C13" s="261"/>
      <c r="D13" s="261"/>
      <c r="E13" s="265">
        <f>IF(Datasheet!B32="","",Datasheet!B32)</f>
        <v>30</v>
      </c>
      <c r="F13" s="266"/>
      <c r="G13" s="267"/>
      <c r="H13" s="47"/>
      <c r="I13" s="261" t="s">
        <v>239</v>
      </c>
      <c r="J13" s="261"/>
      <c r="K13" s="261"/>
      <c r="L13" s="258">
        <f>IF(Datasheet!B40="","",Datasheet!B40)</f>
        <v>5734.4118820646</v>
      </c>
      <c r="M13" s="259"/>
      <c r="N13" s="260"/>
      <c r="O13" s="47"/>
      <c r="P13" s="47"/>
      <c r="Q13" s="178"/>
    </row>
    <row r="14" spans="1:17" ht="15" customHeight="1">
      <c r="A14" s="114"/>
      <c r="B14" s="261" t="s">
        <v>331</v>
      </c>
      <c r="C14" s="261"/>
      <c r="D14" s="261"/>
      <c r="E14" s="265">
        <f>IF(Datasheet!B33="","",Datasheet!B33)</f>
        <v>31.5</v>
      </c>
      <c r="F14" s="266"/>
      <c r="G14" s="267"/>
      <c r="H14" s="47"/>
      <c r="I14" s="261" t="s">
        <v>31</v>
      </c>
      <c r="J14" s="261"/>
      <c r="K14" s="261"/>
      <c r="L14" s="258">
        <f>IF(Datasheet!B39="","",Datasheet!B39)</f>
        <v>68812.9425847753</v>
      </c>
      <c r="M14" s="259"/>
      <c r="N14" s="260"/>
      <c r="O14" s="47"/>
      <c r="P14" s="47"/>
      <c r="Q14" s="178"/>
    </row>
    <row r="15" spans="1:17" ht="15" customHeight="1">
      <c r="A15" s="114"/>
      <c r="B15" s="261" t="s">
        <v>220</v>
      </c>
      <c r="C15" s="261"/>
      <c r="D15" s="261"/>
      <c r="E15" s="274">
        <f>IF(Datasheet!B34="","",Datasheet!B34)</f>
        <v>0</v>
      </c>
      <c r="F15" s="275"/>
      <c r="G15" s="276"/>
      <c r="H15" s="83"/>
      <c r="I15" s="261" t="s">
        <v>11</v>
      </c>
      <c r="J15" s="261"/>
      <c r="K15" s="261"/>
      <c r="L15" s="271">
        <f>IF(Datasheet!B41="","",Datasheet!B41)</f>
        <v>0.879959179166014</v>
      </c>
      <c r="M15" s="272"/>
      <c r="N15" s="273"/>
      <c r="O15" s="47"/>
      <c r="P15" s="47"/>
      <c r="Q15" s="178"/>
    </row>
    <row r="16" spans="1:17" ht="12.75">
      <c r="A16" s="114"/>
      <c r="B16" s="100" t="s">
        <v>81</v>
      </c>
      <c r="C16" s="47"/>
      <c r="D16" s="47"/>
      <c r="E16" s="47"/>
      <c r="F16" s="47"/>
      <c r="G16" s="47"/>
      <c r="H16" s="47"/>
      <c r="I16" s="83"/>
      <c r="J16" s="83"/>
      <c r="K16" s="83"/>
      <c r="L16" s="72"/>
      <c r="M16" s="72"/>
      <c r="N16" s="72"/>
      <c r="O16" s="47"/>
      <c r="P16" s="47"/>
      <c r="Q16" s="178"/>
    </row>
    <row r="17" spans="1:17" ht="12.75">
      <c r="A17" s="114"/>
      <c r="B17" s="100" t="s">
        <v>84</v>
      </c>
      <c r="C17" s="47"/>
      <c r="D17" s="47"/>
      <c r="E17" s="47"/>
      <c r="F17" s="47"/>
      <c r="G17" s="47"/>
      <c r="H17" s="47"/>
      <c r="I17" s="83"/>
      <c r="J17" s="83"/>
      <c r="K17" s="83"/>
      <c r="L17" s="83"/>
      <c r="M17" s="47"/>
      <c r="N17" s="47"/>
      <c r="O17" s="47"/>
      <c r="P17" s="47"/>
      <c r="Q17" s="178"/>
    </row>
    <row r="18" spans="1:17" ht="12.75">
      <c r="A18" s="114"/>
      <c r="B18" s="100" t="s">
        <v>14</v>
      </c>
      <c r="C18" s="47"/>
      <c r="D18" s="47"/>
      <c r="E18" s="47"/>
      <c r="F18" s="47"/>
      <c r="G18" s="47"/>
      <c r="H18" s="47"/>
      <c r="I18" s="83"/>
      <c r="J18" s="83"/>
      <c r="K18" s="83"/>
      <c r="L18" s="83"/>
      <c r="M18" s="47"/>
      <c r="N18" s="47"/>
      <c r="O18" s="47"/>
      <c r="P18" s="47"/>
      <c r="Q18" s="178"/>
    </row>
    <row r="19" spans="1:17" ht="12.75">
      <c r="A19" s="114"/>
      <c r="B19" s="100" t="s">
        <v>43</v>
      </c>
      <c r="C19" s="47"/>
      <c r="D19" s="47"/>
      <c r="E19" s="47"/>
      <c r="F19" s="47"/>
      <c r="G19" s="47"/>
      <c r="H19" s="47"/>
      <c r="I19" s="83"/>
      <c r="J19" s="83"/>
      <c r="K19" s="83"/>
      <c r="L19" s="83"/>
      <c r="M19" s="47"/>
      <c r="N19" s="47"/>
      <c r="O19" s="47"/>
      <c r="P19" s="47"/>
      <c r="Q19" s="178"/>
    </row>
    <row r="20" spans="1:17" ht="12.75">
      <c r="A20" s="114"/>
      <c r="B20" s="100" t="s">
        <v>203</v>
      </c>
      <c r="C20" s="47"/>
      <c r="D20" s="47"/>
      <c r="E20" s="47"/>
      <c r="F20" s="47"/>
      <c r="G20" s="47"/>
      <c r="H20" s="47"/>
      <c r="I20" s="83"/>
      <c r="J20" s="83"/>
      <c r="K20" s="83"/>
      <c r="L20" s="83"/>
      <c r="M20" s="47"/>
      <c r="N20" s="47"/>
      <c r="O20" s="47"/>
      <c r="P20" s="47"/>
      <c r="Q20" s="178"/>
    </row>
    <row r="21" spans="1:17" ht="12.75">
      <c r="A21" s="114"/>
      <c r="B21" s="100" t="s">
        <v>70</v>
      </c>
      <c r="C21" s="47"/>
      <c r="D21" s="47"/>
      <c r="E21" s="47"/>
      <c r="F21" s="47"/>
      <c r="G21" s="47"/>
      <c r="H21" s="47"/>
      <c r="I21" s="83"/>
      <c r="J21" s="83"/>
      <c r="K21" s="83"/>
      <c r="L21" s="83"/>
      <c r="M21" s="47"/>
      <c r="N21" s="47"/>
      <c r="O21" s="47"/>
      <c r="P21" s="47"/>
      <c r="Q21" s="178"/>
    </row>
    <row r="22" spans="1:17" ht="12.75">
      <c r="A22" s="114"/>
      <c r="B22" s="100" t="s">
        <v>207</v>
      </c>
      <c r="C22" s="47"/>
      <c r="D22" s="47"/>
      <c r="E22" s="47"/>
      <c r="F22" s="47"/>
      <c r="G22" s="47"/>
      <c r="H22" s="47"/>
      <c r="I22" s="83"/>
      <c r="J22" s="83"/>
      <c r="K22" s="83"/>
      <c r="L22" s="83"/>
      <c r="M22" s="47"/>
      <c r="N22" s="47"/>
      <c r="O22" s="47"/>
      <c r="P22" s="47"/>
      <c r="Q22" s="178"/>
    </row>
    <row r="23" spans="1:17" ht="12.75">
      <c r="A23" s="114"/>
      <c r="B23" s="100" t="s">
        <v>82</v>
      </c>
      <c r="C23" s="47"/>
      <c r="D23" s="47"/>
      <c r="E23" s="47"/>
      <c r="F23" s="47"/>
      <c r="G23" s="47"/>
      <c r="H23" s="47"/>
      <c r="I23" s="47"/>
      <c r="J23" s="47"/>
      <c r="K23" s="47"/>
      <c r="L23" s="47"/>
      <c r="M23" s="47"/>
      <c r="N23" s="47"/>
      <c r="O23" s="47"/>
      <c r="P23" s="47"/>
      <c r="Q23" s="178"/>
    </row>
    <row r="24" spans="1:17" ht="12.75">
      <c r="A24" s="114"/>
      <c r="B24" s="100" t="s">
        <v>135</v>
      </c>
      <c r="C24" s="47"/>
      <c r="D24" s="47"/>
      <c r="E24" s="47"/>
      <c r="F24" s="47"/>
      <c r="G24" s="47"/>
      <c r="H24" s="47"/>
      <c r="I24" s="47"/>
      <c r="J24" s="47"/>
      <c r="K24" s="47"/>
      <c r="L24" s="47"/>
      <c r="M24" s="47"/>
      <c r="N24" s="47"/>
      <c r="O24" s="47"/>
      <c r="P24" s="47"/>
      <c r="Q24" s="178"/>
    </row>
    <row r="25" spans="1:17" ht="12.75">
      <c r="A25" s="114"/>
      <c r="B25" s="47"/>
      <c r="C25" s="47"/>
      <c r="D25" s="47"/>
      <c r="E25" s="47"/>
      <c r="F25" s="47"/>
      <c r="G25" s="47"/>
      <c r="H25" s="47"/>
      <c r="I25" s="47"/>
      <c r="J25" s="47"/>
      <c r="K25" s="47"/>
      <c r="L25" s="47"/>
      <c r="M25" s="47"/>
      <c r="N25" s="47"/>
      <c r="O25" s="47"/>
      <c r="P25" s="47"/>
      <c r="Q25" s="178"/>
    </row>
    <row r="26" spans="1:17" ht="13.5" customHeight="1">
      <c r="A26" s="114"/>
      <c r="B26" s="250" t="s">
        <v>189</v>
      </c>
      <c r="C26" s="251"/>
      <c r="D26" s="251"/>
      <c r="E26" s="251"/>
      <c r="F26" s="251"/>
      <c r="G26" s="252"/>
      <c r="H26" s="47"/>
      <c r="I26" s="47"/>
      <c r="J26" s="47"/>
      <c r="K26" s="47"/>
      <c r="L26" s="47"/>
      <c r="M26" s="47"/>
      <c r="N26" s="47"/>
      <c r="O26" s="47"/>
      <c r="P26" s="47"/>
      <c r="Q26" s="178"/>
    </row>
    <row r="27" spans="1:17" ht="13.5" customHeight="1">
      <c r="A27" s="114"/>
      <c r="B27" s="253"/>
      <c r="C27" s="254"/>
      <c r="D27" s="254"/>
      <c r="E27" s="254"/>
      <c r="F27" s="254"/>
      <c r="G27" s="255"/>
      <c r="H27" s="47"/>
      <c r="I27" s="47"/>
      <c r="J27" s="47"/>
      <c r="K27" s="47"/>
      <c r="L27" s="47"/>
      <c r="M27" s="47"/>
      <c r="N27" s="47"/>
      <c r="O27" s="47"/>
      <c r="P27" s="47"/>
      <c r="Q27" s="178"/>
    </row>
    <row r="28" spans="1:17" ht="12.75">
      <c r="A28" s="114"/>
      <c r="B28" s="47"/>
      <c r="C28" s="47"/>
      <c r="D28" s="47"/>
      <c r="E28" s="47"/>
      <c r="F28" s="47"/>
      <c r="G28" s="47"/>
      <c r="H28" s="47"/>
      <c r="I28" s="47"/>
      <c r="J28" s="47"/>
      <c r="K28" s="47"/>
      <c r="L28" s="47"/>
      <c r="M28" s="47"/>
      <c r="N28" s="47"/>
      <c r="O28" s="47"/>
      <c r="P28" s="47"/>
      <c r="Q28" s="178"/>
    </row>
    <row r="29" spans="1:17" ht="15" customHeight="1">
      <c r="A29" s="114"/>
      <c r="B29" s="256" t="s">
        <v>155</v>
      </c>
      <c r="C29" s="278"/>
      <c r="D29" s="257"/>
      <c r="E29" s="277">
        <f>IF(Datasheet!B100="","",Datasheet!B100)</f>
        <v>1376258.8516955061</v>
      </c>
      <c r="F29" s="278"/>
      <c r="G29" s="257"/>
      <c r="H29" s="256" t="s">
        <v>183</v>
      </c>
      <c r="I29" s="278"/>
      <c r="J29" s="257"/>
      <c r="K29" s="277">
        <f>IF(Datasheet!B101="","",Datasheet!B101)</f>
        <v>432833.4088582367</v>
      </c>
      <c r="L29" s="278"/>
      <c r="M29" s="257"/>
      <c r="N29" s="47"/>
      <c r="O29" s="47"/>
      <c r="P29" s="47"/>
      <c r="Q29" s="178"/>
    </row>
    <row r="30" spans="1:17" ht="12.75">
      <c r="A30" s="114"/>
      <c r="C30" s="47"/>
      <c r="D30" s="47"/>
      <c r="E30" s="47"/>
      <c r="F30" s="47"/>
      <c r="G30" s="47"/>
      <c r="H30" s="47"/>
      <c r="I30" s="47"/>
      <c r="J30" s="47"/>
      <c r="K30" s="47"/>
      <c r="L30" s="47"/>
      <c r="M30" s="47"/>
      <c r="N30" s="47"/>
      <c r="O30" s="47"/>
      <c r="P30" s="47"/>
      <c r="Q30" s="178"/>
    </row>
    <row r="31" spans="1:17" ht="12.75">
      <c r="A31" s="114"/>
      <c r="B31" s="47"/>
      <c r="C31" s="47"/>
      <c r="D31" s="47"/>
      <c r="E31" s="47"/>
      <c r="F31" s="47"/>
      <c r="G31" s="47"/>
      <c r="H31" s="47"/>
      <c r="I31" s="47"/>
      <c r="J31" s="47"/>
      <c r="K31" s="47"/>
      <c r="L31" s="47"/>
      <c r="M31" s="47"/>
      <c r="N31" s="47"/>
      <c r="O31" s="47"/>
      <c r="P31" s="47"/>
      <c r="Q31" s="178"/>
    </row>
    <row r="32" spans="1:17" ht="12.75">
      <c r="A32" s="114"/>
      <c r="B32" s="47"/>
      <c r="C32" s="47"/>
      <c r="D32" s="47"/>
      <c r="E32" s="47"/>
      <c r="F32" s="47"/>
      <c r="G32" s="47"/>
      <c r="H32" s="47"/>
      <c r="I32" s="47"/>
      <c r="J32" s="47"/>
      <c r="K32" s="47"/>
      <c r="L32" s="47"/>
      <c r="M32" s="47"/>
      <c r="N32" s="47"/>
      <c r="O32" s="47"/>
      <c r="P32" s="47"/>
      <c r="Q32" s="178"/>
    </row>
    <row r="33" spans="1:17" ht="12.75">
      <c r="A33" s="114"/>
      <c r="B33" s="47"/>
      <c r="C33" s="47"/>
      <c r="D33" s="47"/>
      <c r="E33" s="47"/>
      <c r="F33" s="47"/>
      <c r="G33" s="47"/>
      <c r="H33" s="47"/>
      <c r="I33" s="47"/>
      <c r="J33" s="47"/>
      <c r="K33" s="47"/>
      <c r="L33" s="47"/>
      <c r="M33" s="47"/>
      <c r="N33" s="47"/>
      <c r="O33" s="47"/>
      <c r="P33" s="47"/>
      <c r="Q33" s="178"/>
    </row>
    <row r="34" spans="1:17" ht="12.75">
      <c r="A34" s="114"/>
      <c r="B34" s="47"/>
      <c r="C34" s="47"/>
      <c r="D34" s="47"/>
      <c r="E34" s="47"/>
      <c r="F34" s="47"/>
      <c r="G34" s="47"/>
      <c r="H34" s="47"/>
      <c r="I34" s="47"/>
      <c r="J34" s="47"/>
      <c r="K34" s="47"/>
      <c r="L34" s="47"/>
      <c r="M34" s="47"/>
      <c r="N34" s="47"/>
      <c r="O34" s="47"/>
      <c r="P34" s="47"/>
      <c r="Q34" s="178"/>
    </row>
    <row r="35" spans="1:17" ht="12.75">
      <c r="A35" s="114"/>
      <c r="B35" s="47"/>
      <c r="C35" s="47"/>
      <c r="D35" s="47"/>
      <c r="E35" s="47"/>
      <c r="F35" s="47"/>
      <c r="G35" s="47"/>
      <c r="H35" s="47"/>
      <c r="I35" s="47"/>
      <c r="J35" s="47"/>
      <c r="K35" s="47"/>
      <c r="L35" s="47"/>
      <c r="M35" s="47"/>
      <c r="N35" s="47"/>
      <c r="O35" s="47"/>
      <c r="P35" s="47"/>
      <c r="Q35" s="178"/>
    </row>
    <row r="36" spans="1:17" ht="12.75">
      <c r="A36" s="114"/>
      <c r="B36" s="47"/>
      <c r="C36" s="47"/>
      <c r="D36" s="47"/>
      <c r="E36" s="47"/>
      <c r="F36" s="47"/>
      <c r="G36" s="47"/>
      <c r="H36" s="47"/>
      <c r="I36" s="47"/>
      <c r="J36" s="47"/>
      <c r="K36" s="47"/>
      <c r="L36" s="47"/>
      <c r="M36" s="47"/>
      <c r="N36" s="47"/>
      <c r="O36" s="47"/>
      <c r="P36" s="47"/>
      <c r="Q36" s="178"/>
    </row>
    <row r="37" spans="1:17" ht="12.75">
      <c r="A37" s="114"/>
      <c r="B37" s="47"/>
      <c r="C37" s="47"/>
      <c r="D37" s="47"/>
      <c r="E37" s="47"/>
      <c r="F37" s="47"/>
      <c r="G37" s="47"/>
      <c r="H37" s="47"/>
      <c r="I37" s="47"/>
      <c r="J37" s="47"/>
      <c r="K37" s="47"/>
      <c r="L37" s="47"/>
      <c r="M37" s="47"/>
      <c r="N37" s="47"/>
      <c r="O37" s="47"/>
      <c r="P37" s="47"/>
      <c r="Q37" s="178"/>
    </row>
    <row r="38" spans="1:17" ht="12.75">
      <c r="A38" s="114"/>
      <c r="B38" s="47"/>
      <c r="C38" s="47"/>
      <c r="D38" s="47"/>
      <c r="E38" s="47"/>
      <c r="F38" s="47"/>
      <c r="G38" s="47"/>
      <c r="H38" s="47"/>
      <c r="I38" s="47"/>
      <c r="J38" s="47"/>
      <c r="K38" s="47"/>
      <c r="L38" s="47"/>
      <c r="M38" s="47"/>
      <c r="N38" s="47"/>
      <c r="O38" s="47"/>
      <c r="P38" s="47"/>
      <c r="Q38" s="178"/>
    </row>
    <row r="39" spans="1:17" ht="12.75">
      <c r="A39" s="114"/>
      <c r="B39" s="47"/>
      <c r="C39" s="47"/>
      <c r="D39" s="47"/>
      <c r="E39" s="47"/>
      <c r="F39" s="47"/>
      <c r="G39" s="47"/>
      <c r="H39" s="47"/>
      <c r="I39" s="47"/>
      <c r="J39" s="47"/>
      <c r="K39" s="47"/>
      <c r="L39" s="47"/>
      <c r="M39" s="47"/>
      <c r="N39" s="47"/>
      <c r="O39" s="47"/>
      <c r="P39" s="47"/>
      <c r="Q39" s="178"/>
    </row>
    <row r="40" spans="1:17" ht="12.75">
      <c r="A40" s="114"/>
      <c r="B40" s="47"/>
      <c r="C40" s="47"/>
      <c r="D40" s="47"/>
      <c r="E40" s="47"/>
      <c r="F40" s="47"/>
      <c r="G40" s="47"/>
      <c r="H40" s="47"/>
      <c r="I40" s="47"/>
      <c r="J40" s="47"/>
      <c r="K40" s="47"/>
      <c r="L40" s="47"/>
      <c r="M40" s="47"/>
      <c r="N40" s="47"/>
      <c r="O40" s="47"/>
      <c r="P40" s="47"/>
      <c r="Q40" s="178"/>
    </row>
    <row r="41" spans="1:17" ht="12.75">
      <c r="A41" s="114"/>
      <c r="B41" s="47"/>
      <c r="C41" s="47"/>
      <c r="D41" s="47"/>
      <c r="E41" s="47"/>
      <c r="F41" s="47"/>
      <c r="G41" s="47"/>
      <c r="H41" s="47"/>
      <c r="I41" s="47"/>
      <c r="J41" s="47"/>
      <c r="K41" s="47"/>
      <c r="L41" s="47"/>
      <c r="M41" s="47"/>
      <c r="N41" s="47"/>
      <c r="O41" s="47"/>
      <c r="P41" s="47"/>
      <c r="Q41" s="178"/>
    </row>
    <row r="42" spans="1:17" ht="12.75">
      <c r="A42" s="114"/>
      <c r="B42" s="47"/>
      <c r="C42" s="47"/>
      <c r="D42" s="47"/>
      <c r="E42" s="47"/>
      <c r="F42" s="47"/>
      <c r="G42" s="47"/>
      <c r="H42" s="47"/>
      <c r="I42" s="47"/>
      <c r="J42" s="47"/>
      <c r="K42" s="47"/>
      <c r="L42" s="47"/>
      <c r="M42" s="47"/>
      <c r="N42" s="47"/>
      <c r="O42" s="47"/>
      <c r="P42" s="47"/>
      <c r="Q42" s="178"/>
    </row>
    <row r="43" spans="1:17" ht="12.75">
      <c r="A43" s="114"/>
      <c r="B43" s="47"/>
      <c r="C43" s="47"/>
      <c r="D43" s="47"/>
      <c r="E43" s="47"/>
      <c r="F43" s="47"/>
      <c r="G43" s="47"/>
      <c r="H43" s="47"/>
      <c r="I43" s="47"/>
      <c r="J43" s="47"/>
      <c r="K43" s="47"/>
      <c r="L43" s="47"/>
      <c r="M43" s="47"/>
      <c r="N43" s="47"/>
      <c r="O43" s="47"/>
      <c r="P43" s="47"/>
      <c r="Q43" s="178"/>
    </row>
    <row r="44" spans="1:17" ht="12.75">
      <c r="A44" s="114"/>
      <c r="B44" s="47"/>
      <c r="C44" s="47"/>
      <c r="D44" s="47"/>
      <c r="E44" s="47"/>
      <c r="F44" s="47"/>
      <c r="G44" s="47"/>
      <c r="H44" s="47"/>
      <c r="I44" s="47"/>
      <c r="J44" s="47"/>
      <c r="K44" s="47"/>
      <c r="L44" s="47"/>
      <c r="M44" s="47"/>
      <c r="N44" s="47"/>
      <c r="O44" s="47"/>
      <c r="P44" s="47"/>
      <c r="Q44" s="178"/>
    </row>
    <row r="45" spans="1:17" ht="12.75">
      <c r="A45" s="114"/>
      <c r="B45" s="47"/>
      <c r="C45" s="47"/>
      <c r="D45" s="47"/>
      <c r="E45" s="47"/>
      <c r="F45" s="47"/>
      <c r="G45" s="47"/>
      <c r="H45" s="47"/>
      <c r="I45" s="47"/>
      <c r="J45" s="47"/>
      <c r="K45" s="47"/>
      <c r="L45" s="47"/>
      <c r="M45" s="47"/>
      <c r="N45" s="47"/>
      <c r="O45" s="47"/>
      <c r="P45" s="47"/>
      <c r="Q45" s="178"/>
    </row>
    <row r="46" spans="1:17" ht="12.75">
      <c r="A46" s="114"/>
      <c r="B46" s="47"/>
      <c r="C46" s="47"/>
      <c r="D46" s="47"/>
      <c r="E46" s="47"/>
      <c r="F46" s="47"/>
      <c r="G46" s="47"/>
      <c r="H46" s="47"/>
      <c r="I46" s="47"/>
      <c r="J46" s="47"/>
      <c r="K46" s="47"/>
      <c r="L46" s="47"/>
      <c r="M46" s="47"/>
      <c r="N46" s="47"/>
      <c r="O46" s="47"/>
      <c r="P46" s="47"/>
      <c r="Q46" s="178"/>
    </row>
    <row r="47" spans="1:17" ht="12.75">
      <c r="A47" s="114"/>
      <c r="B47" s="250" t="s">
        <v>188</v>
      </c>
      <c r="C47" s="251"/>
      <c r="D47" s="251"/>
      <c r="E47" s="251"/>
      <c r="F47" s="251"/>
      <c r="G47" s="252"/>
      <c r="H47" s="47"/>
      <c r="I47" s="47"/>
      <c r="J47" s="47"/>
      <c r="K47" s="47"/>
      <c r="L47" s="47"/>
      <c r="M47" s="47"/>
      <c r="N47" s="47"/>
      <c r="O47" s="47"/>
      <c r="P47" s="47"/>
      <c r="Q47" s="178"/>
    </row>
    <row r="48" spans="1:17" ht="12.75">
      <c r="A48" s="114"/>
      <c r="B48" s="253"/>
      <c r="C48" s="254"/>
      <c r="D48" s="254"/>
      <c r="E48" s="254"/>
      <c r="F48" s="254"/>
      <c r="G48" s="255"/>
      <c r="H48" s="47"/>
      <c r="I48" s="47"/>
      <c r="J48" s="47"/>
      <c r="K48" s="47"/>
      <c r="L48" s="47"/>
      <c r="M48" s="47"/>
      <c r="N48" s="47"/>
      <c r="O48" s="47"/>
      <c r="P48" s="47"/>
      <c r="Q48" s="178"/>
    </row>
    <row r="49" spans="1:17" ht="7.5" customHeight="1">
      <c r="A49" s="114"/>
      <c r="B49" s="47"/>
      <c r="C49" s="47"/>
      <c r="D49" s="47"/>
      <c r="E49" s="47"/>
      <c r="F49" s="47"/>
      <c r="G49" s="47"/>
      <c r="H49" s="47"/>
      <c r="I49" s="47"/>
      <c r="J49" s="47"/>
      <c r="K49" s="47"/>
      <c r="L49" s="47"/>
      <c r="M49" s="47"/>
      <c r="N49" s="47"/>
      <c r="O49" s="47"/>
      <c r="P49" s="47"/>
      <c r="Q49" s="178"/>
    </row>
    <row r="50" spans="1:17" ht="12.75">
      <c r="A50" s="114"/>
      <c r="B50" s="160" t="str">
        <f>Datasheet!B165</f>
        <v>・年間予想発電量は、設置場所に最も近いNEDO局所風況マップ500mメッシュデータの年間平均風速とワイブル係数K値を使用し、各メーカのパワーカーブを使用したワイブル分布計算により算出しています。</v>
      </c>
      <c r="C50" s="97"/>
      <c r="D50" s="97"/>
      <c r="E50" s="97"/>
      <c r="F50" s="97"/>
      <c r="G50" s="97"/>
      <c r="H50" s="97"/>
      <c r="I50" s="97"/>
      <c r="J50" s="97"/>
      <c r="K50" s="97"/>
      <c r="L50" s="97"/>
      <c r="M50" s="97"/>
      <c r="N50" s="97"/>
      <c r="O50" s="97"/>
      <c r="P50" s="199"/>
      <c r="Q50" s="178"/>
    </row>
    <row r="51" spans="1:17" ht="12.75">
      <c r="A51" s="114"/>
      <c r="B51" s="155" t="str">
        <f>Datasheet!B166</f>
        <v>・本シミュレーションの数値は、設定条件を含めた仮定による試算値であり、 実際の金額、発電量、売電収益額、投資回収期間を保証するものではありません。 </v>
      </c>
      <c r="C51" s="47"/>
      <c r="D51" s="47"/>
      <c r="E51" s="47"/>
      <c r="F51" s="47"/>
      <c r="G51" s="47"/>
      <c r="H51" s="47"/>
      <c r="I51" s="47"/>
      <c r="J51" s="47"/>
      <c r="K51" s="47"/>
      <c r="L51" s="47"/>
      <c r="M51" s="47"/>
      <c r="N51" s="47"/>
      <c r="O51" s="47"/>
      <c r="P51" s="178"/>
      <c r="Q51" s="178"/>
    </row>
    <row r="52" spans="1:17" ht="12.75">
      <c r="A52" s="114"/>
      <c r="B52" s="155" t="s">
        <v>41</v>
      </c>
      <c r="C52" s="47"/>
      <c r="D52" s="47"/>
      <c r="E52" s="47"/>
      <c r="F52" s="47"/>
      <c r="G52" s="47"/>
      <c r="H52" s="47"/>
      <c r="I52" s="47"/>
      <c r="J52" s="47"/>
      <c r="K52" s="47"/>
      <c r="L52" s="47"/>
      <c r="M52" s="47"/>
      <c r="N52" s="47"/>
      <c r="O52" s="47"/>
      <c r="P52" s="178"/>
      <c r="Q52" s="178"/>
    </row>
    <row r="53" spans="1:17" ht="12.75">
      <c r="A53" s="114"/>
      <c r="B53" s="155" t="s">
        <v>41</v>
      </c>
      <c r="C53" s="47"/>
      <c r="D53" s="47"/>
      <c r="E53" s="47"/>
      <c r="F53" s="47"/>
      <c r="G53" s="47"/>
      <c r="H53" s="47"/>
      <c r="I53" s="47"/>
      <c r="J53" s="47"/>
      <c r="K53" s="47"/>
      <c r="L53" s="47"/>
      <c r="M53" s="47"/>
      <c r="N53" s="47"/>
      <c r="O53" s="47"/>
      <c r="P53" s="178"/>
      <c r="Q53" s="178"/>
    </row>
    <row r="54" spans="1:17" ht="12.75">
      <c r="A54" s="114"/>
      <c r="B54" s="146" t="s">
        <v>41</v>
      </c>
      <c r="C54" s="207"/>
      <c r="D54" s="207"/>
      <c r="E54" s="207"/>
      <c r="F54" s="207"/>
      <c r="G54" s="207"/>
      <c r="H54" s="207"/>
      <c r="I54" s="207"/>
      <c r="J54" s="207"/>
      <c r="K54" s="207"/>
      <c r="L54" s="207"/>
      <c r="M54" s="207"/>
      <c r="N54" s="207"/>
      <c r="O54" s="207"/>
      <c r="P54" s="115"/>
      <c r="Q54" s="178"/>
    </row>
    <row r="55" spans="1:17" ht="7.5" customHeight="1">
      <c r="A55" s="104"/>
      <c r="B55" s="207"/>
      <c r="C55" s="207"/>
      <c r="D55" s="207"/>
      <c r="E55" s="207"/>
      <c r="F55" s="207"/>
      <c r="G55" s="207"/>
      <c r="H55" s="207"/>
      <c r="I55" s="207"/>
      <c r="J55" s="207"/>
      <c r="K55" s="207"/>
      <c r="L55" s="207"/>
      <c r="M55" s="207"/>
      <c r="N55" s="207"/>
      <c r="O55" s="207"/>
      <c r="P55" s="207"/>
      <c r="Q55" s="115"/>
    </row>
  </sheetData>
  <sheetProtection/>
  <mergeCells count="39">
    <mergeCell ref="A1:F3"/>
    <mergeCell ref="B5:G6"/>
    <mergeCell ref="B9:D9"/>
    <mergeCell ref="J1:Q3"/>
    <mergeCell ref="I9:K9"/>
    <mergeCell ref="I8:J8"/>
    <mergeCell ref="B8:C8"/>
    <mergeCell ref="E9:G9"/>
    <mergeCell ref="L9:N9"/>
    <mergeCell ref="B47:G48"/>
    <mergeCell ref="K29:M29"/>
    <mergeCell ref="B26:G27"/>
    <mergeCell ref="B29:D29"/>
    <mergeCell ref="E29:G29"/>
    <mergeCell ref="H29:J29"/>
    <mergeCell ref="B15:D15"/>
    <mergeCell ref="E14:G14"/>
    <mergeCell ref="E15:G15"/>
    <mergeCell ref="B12:D12"/>
    <mergeCell ref="B13:D13"/>
    <mergeCell ref="B14:D14"/>
    <mergeCell ref="L15:N15"/>
    <mergeCell ref="I10:K10"/>
    <mergeCell ref="I11:K11"/>
    <mergeCell ref="I12:K12"/>
    <mergeCell ref="I13:K13"/>
    <mergeCell ref="I14:K14"/>
    <mergeCell ref="I15:K15"/>
    <mergeCell ref="L10:N10"/>
    <mergeCell ref="L11:N11"/>
    <mergeCell ref="L12:N12"/>
    <mergeCell ref="L13:N13"/>
    <mergeCell ref="L14:N14"/>
    <mergeCell ref="B10:D10"/>
    <mergeCell ref="B11:D11"/>
    <mergeCell ref="E10:G10"/>
    <mergeCell ref="E11:G11"/>
    <mergeCell ref="E12:G12"/>
    <mergeCell ref="E13:G13"/>
  </mergeCells>
  <printOptions horizontalCentered="1" verticalCentered="1"/>
  <pageMargins left="0" right="0" top="0" bottom="0" header="0" footer="0"/>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showGridLines="0" zoomScale="90" zoomScaleNormal="90" zoomScalePageLayoutView="0" workbookViewId="0" topLeftCell="A1">
      <selection activeCell="A1" sqref="A1:H3"/>
    </sheetView>
  </sheetViews>
  <sheetFormatPr defaultColWidth="9.140625" defaultRowHeight="12.75"/>
  <cols>
    <col min="1" max="1" width="4.57421875" style="183" customWidth="1"/>
    <col min="2" max="17" width="9.57421875" style="183" customWidth="1"/>
    <col min="18" max="16384" width="9.140625" style="183" customWidth="1"/>
  </cols>
  <sheetData>
    <row r="1" spans="1:17" ht="13.5" customHeight="1">
      <c r="A1" s="237" t="s">
        <v>13</v>
      </c>
      <c r="B1" s="292"/>
      <c r="C1" s="292"/>
      <c r="D1" s="292"/>
      <c r="E1" s="292"/>
      <c r="F1" s="292"/>
      <c r="G1" s="292"/>
      <c r="H1" s="292"/>
      <c r="I1" s="288">
        <f>IF(Datasheet!B4="","",Datasheet!B4)</f>
      </c>
      <c r="J1" s="288"/>
      <c r="K1" s="288"/>
      <c r="L1" s="288"/>
      <c r="M1" s="288"/>
      <c r="N1" s="288"/>
      <c r="O1" s="288"/>
      <c r="P1" s="288"/>
      <c r="Q1" s="281"/>
    </row>
    <row r="2" spans="1:17" ht="13.5" customHeight="1">
      <c r="A2" s="239"/>
      <c r="B2" s="240"/>
      <c r="C2" s="240"/>
      <c r="D2" s="240"/>
      <c r="E2" s="240"/>
      <c r="F2" s="240"/>
      <c r="G2" s="240"/>
      <c r="H2" s="240"/>
      <c r="I2" s="289"/>
      <c r="J2" s="289"/>
      <c r="K2" s="289"/>
      <c r="L2" s="289"/>
      <c r="M2" s="289"/>
      <c r="N2" s="289"/>
      <c r="O2" s="289"/>
      <c r="P2" s="289"/>
      <c r="Q2" s="283"/>
    </row>
    <row r="3" spans="1:17" ht="13.5" customHeight="1">
      <c r="A3" s="293"/>
      <c r="B3" s="294"/>
      <c r="C3" s="294"/>
      <c r="D3" s="294"/>
      <c r="E3" s="294"/>
      <c r="F3" s="294"/>
      <c r="G3" s="294"/>
      <c r="H3" s="294"/>
      <c r="I3" s="290"/>
      <c r="J3" s="290"/>
      <c r="K3" s="290"/>
      <c r="L3" s="290"/>
      <c r="M3" s="290"/>
      <c r="N3" s="290"/>
      <c r="O3" s="290"/>
      <c r="P3" s="290"/>
      <c r="Q3" s="291"/>
    </row>
    <row r="4" spans="1:17" ht="12.75">
      <c r="A4" s="114"/>
      <c r="B4" s="47"/>
      <c r="C4" s="47"/>
      <c r="D4" s="47"/>
      <c r="E4" s="47"/>
      <c r="F4" s="47"/>
      <c r="G4" s="47"/>
      <c r="H4" s="47"/>
      <c r="I4" s="47"/>
      <c r="J4" s="47"/>
      <c r="K4" s="47"/>
      <c r="L4" s="47"/>
      <c r="M4" s="47"/>
      <c r="N4" s="47"/>
      <c r="O4" s="47"/>
      <c r="P4" s="47"/>
      <c r="Q4" s="178"/>
    </row>
    <row r="5" spans="1:17" ht="12.75">
      <c r="A5" s="114"/>
      <c r="B5" s="47"/>
      <c r="C5" s="47"/>
      <c r="D5" s="47"/>
      <c r="E5" s="47"/>
      <c r="F5" s="47"/>
      <c r="G5" s="47"/>
      <c r="H5" s="47"/>
      <c r="I5" s="47"/>
      <c r="J5" s="47"/>
      <c r="K5" s="47"/>
      <c r="L5" s="47"/>
      <c r="M5" s="47"/>
      <c r="N5" s="47"/>
      <c r="O5" s="47"/>
      <c r="P5" s="47"/>
      <c r="Q5" s="178"/>
    </row>
    <row r="6" spans="1:17" ht="12.75">
      <c r="A6" s="114"/>
      <c r="B6" s="47"/>
      <c r="C6" s="47"/>
      <c r="D6" s="47"/>
      <c r="E6" s="47"/>
      <c r="F6" s="47"/>
      <c r="G6" s="47"/>
      <c r="H6" s="47"/>
      <c r="I6" s="47"/>
      <c r="J6" s="47"/>
      <c r="K6" s="47"/>
      <c r="L6" s="47"/>
      <c r="M6" s="47"/>
      <c r="N6" s="47"/>
      <c r="O6" s="47"/>
      <c r="P6" s="47"/>
      <c r="Q6" s="178"/>
    </row>
    <row r="7" spans="1:17" ht="12.75">
      <c r="A7" s="114"/>
      <c r="B7" s="47"/>
      <c r="C7" s="47"/>
      <c r="D7" s="47"/>
      <c r="E7" s="47"/>
      <c r="F7" s="47"/>
      <c r="G7" s="47"/>
      <c r="H7" s="47"/>
      <c r="I7" s="47"/>
      <c r="J7" s="47"/>
      <c r="K7" s="47"/>
      <c r="L7" s="47"/>
      <c r="M7" s="47"/>
      <c r="N7" s="47"/>
      <c r="O7" s="47"/>
      <c r="P7" s="47"/>
      <c r="Q7" s="178"/>
    </row>
    <row r="8" spans="1:17" ht="12.75">
      <c r="A8" s="114"/>
      <c r="B8" s="47"/>
      <c r="C8" s="47"/>
      <c r="D8" s="47"/>
      <c r="E8" s="47"/>
      <c r="F8" s="47"/>
      <c r="G8" s="47"/>
      <c r="H8" s="47"/>
      <c r="I8" s="47"/>
      <c r="J8" s="47"/>
      <c r="K8" s="47"/>
      <c r="L8" s="47"/>
      <c r="M8" s="47"/>
      <c r="N8" s="47"/>
      <c r="O8" s="47"/>
      <c r="P8" s="47"/>
      <c r="Q8" s="178"/>
    </row>
    <row r="9" spans="1:17" ht="12.75">
      <c r="A9" s="114"/>
      <c r="B9" s="47"/>
      <c r="C9" s="47"/>
      <c r="D9" s="47"/>
      <c r="E9" s="47"/>
      <c r="F9" s="47"/>
      <c r="G9" s="47"/>
      <c r="H9" s="47"/>
      <c r="I9" s="47"/>
      <c r="J9" s="47"/>
      <c r="K9" s="47"/>
      <c r="L9" s="47"/>
      <c r="M9" s="47"/>
      <c r="N9" s="47"/>
      <c r="O9" s="47"/>
      <c r="P9" s="47"/>
      <c r="Q9" s="178"/>
    </row>
    <row r="10" spans="1:17" ht="12.75">
      <c r="A10" s="114"/>
      <c r="B10" s="47"/>
      <c r="C10" s="47"/>
      <c r="D10" s="47"/>
      <c r="E10" s="47"/>
      <c r="F10" s="47"/>
      <c r="G10" s="47"/>
      <c r="H10" s="47"/>
      <c r="I10" s="47"/>
      <c r="J10" s="47"/>
      <c r="K10" s="47"/>
      <c r="L10" s="47"/>
      <c r="M10" s="47"/>
      <c r="N10" s="47"/>
      <c r="O10" s="47"/>
      <c r="P10" s="47"/>
      <c r="Q10" s="178"/>
    </row>
    <row r="11" spans="1:17" ht="12.75">
      <c r="A11" s="114"/>
      <c r="B11" s="47"/>
      <c r="C11" s="47"/>
      <c r="D11" s="47"/>
      <c r="E11" s="47"/>
      <c r="F11" s="47"/>
      <c r="G11" s="47"/>
      <c r="H11" s="47"/>
      <c r="I11" s="47"/>
      <c r="J11" s="47"/>
      <c r="K11" s="47"/>
      <c r="L11" s="47"/>
      <c r="M11" s="47"/>
      <c r="N11" s="47"/>
      <c r="O11" s="47"/>
      <c r="P11" s="47"/>
      <c r="Q11" s="178"/>
    </row>
    <row r="12" spans="1:17" ht="12.75">
      <c r="A12" s="114"/>
      <c r="B12" s="47"/>
      <c r="C12" s="47"/>
      <c r="D12" s="47"/>
      <c r="E12" s="47"/>
      <c r="F12" s="47"/>
      <c r="G12" s="47"/>
      <c r="H12" s="47"/>
      <c r="I12" s="47"/>
      <c r="J12" s="47"/>
      <c r="K12" s="47"/>
      <c r="L12" s="47"/>
      <c r="M12" s="47"/>
      <c r="N12" s="47"/>
      <c r="O12" s="47"/>
      <c r="P12" s="47"/>
      <c r="Q12" s="178"/>
    </row>
    <row r="13" spans="1:17" ht="12.75">
      <c r="A13" s="114"/>
      <c r="B13" s="47"/>
      <c r="C13" s="47"/>
      <c r="D13" s="47"/>
      <c r="E13" s="47"/>
      <c r="F13" s="47"/>
      <c r="G13" s="47"/>
      <c r="H13" s="47"/>
      <c r="I13" s="47"/>
      <c r="J13" s="47"/>
      <c r="K13" s="47"/>
      <c r="L13" s="47"/>
      <c r="M13" s="47"/>
      <c r="N13" s="47"/>
      <c r="O13" s="47"/>
      <c r="P13" s="47"/>
      <c r="Q13" s="178"/>
    </row>
    <row r="14" spans="1:17" ht="12.75">
      <c r="A14" s="114"/>
      <c r="B14" s="47"/>
      <c r="C14" s="47"/>
      <c r="D14" s="47"/>
      <c r="E14" s="47"/>
      <c r="F14" s="47"/>
      <c r="G14" s="47"/>
      <c r="H14" s="47"/>
      <c r="I14" s="47"/>
      <c r="J14" s="47"/>
      <c r="K14" s="47"/>
      <c r="L14" s="47"/>
      <c r="M14" s="47"/>
      <c r="N14" s="47"/>
      <c r="O14" s="47"/>
      <c r="P14" s="47"/>
      <c r="Q14" s="178"/>
    </row>
    <row r="15" spans="1:17" ht="12.75">
      <c r="A15" s="114"/>
      <c r="B15" s="47"/>
      <c r="C15" s="47"/>
      <c r="D15" s="47"/>
      <c r="E15" s="47"/>
      <c r="F15" s="47"/>
      <c r="G15" s="47"/>
      <c r="H15" s="47"/>
      <c r="I15" s="47"/>
      <c r="J15" s="47"/>
      <c r="K15" s="47"/>
      <c r="L15" s="47"/>
      <c r="M15" s="47"/>
      <c r="N15" s="47"/>
      <c r="O15" s="47"/>
      <c r="P15" s="47"/>
      <c r="Q15" s="178"/>
    </row>
    <row r="16" spans="1:17" ht="12.75">
      <c r="A16" s="114"/>
      <c r="B16" s="47"/>
      <c r="C16" s="47"/>
      <c r="D16" s="47"/>
      <c r="E16" s="47"/>
      <c r="F16" s="47"/>
      <c r="G16" s="47"/>
      <c r="H16" s="47"/>
      <c r="I16" s="47"/>
      <c r="J16" s="47"/>
      <c r="K16" s="47"/>
      <c r="L16" s="47"/>
      <c r="M16" s="47"/>
      <c r="N16" s="47"/>
      <c r="O16" s="47"/>
      <c r="P16" s="47"/>
      <c r="Q16" s="178"/>
    </row>
    <row r="17" spans="1:17" ht="12.75">
      <c r="A17" s="114"/>
      <c r="B17" s="47"/>
      <c r="C17" s="47"/>
      <c r="D17" s="47"/>
      <c r="E17" s="47"/>
      <c r="F17" s="47"/>
      <c r="G17" s="47"/>
      <c r="H17" s="47"/>
      <c r="I17" s="47"/>
      <c r="J17" s="47"/>
      <c r="K17" s="47"/>
      <c r="L17" s="47"/>
      <c r="M17" s="47"/>
      <c r="N17" s="47"/>
      <c r="O17" s="47"/>
      <c r="P17" s="47"/>
      <c r="Q17" s="178"/>
    </row>
    <row r="18" spans="1:17" ht="12.75">
      <c r="A18" s="114"/>
      <c r="B18" s="47"/>
      <c r="C18" s="47"/>
      <c r="D18" s="47"/>
      <c r="E18" s="47"/>
      <c r="F18" s="47"/>
      <c r="G18" s="47"/>
      <c r="H18" s="47"/>
      <c r="I18" s="47"/>
      <c r="J18" s="47"/>
      <c r="K18" s="47"/>
      <c r="L18" s="47"/>
      <c r="M18" s="47"/>
      <c r="N18" s="47"/>
      <c r="O18" s="47"/>
      <c r="P18" s="47"/>
      <c r="Q18" s="178"/>
    </row>
    <row r="19" spans="1:17" ht="12.75">
      <c r="A19" s="114"/>
      <c r="B19" s="47"/>
      <c r="C19" s="47"/>
      <c r="D19" s="47"/>
      <c r="E19" s="47"/>
      <c r="F19" s="47"/>
      <c r="G19" s="47"/>
      <c r="H19" s="47"/>
      <c r="I19" s="47"/>
      <c r="J19" s="47"/>
      <c r="K19" s="47"/>
      <c r="L19" s="47"/>
      <c r="M19" s="47"/>
      <c r="N19" s="47"/>
      <c r="O19" s="47"/>
      <c r="P19" s="47"/>
      <c r="Q19" s="178"/>
    </row>
    <row r="20" spans="1:17" ht="12.75">
      <c r="A20" s="114"/>
      <c r="B20" s="47"/>
      <c r="C20" s="47"/>
      <c r="D20" s="47"/>
      <c r="E20" s="47"/>
      <c r="F20" s="47"/>
      <c r="G20" s="47"/>
      <c r="H20" s="47"/>
      <c r="I20" s="47"/>
      <c r="J20" s="47"/>
      <c r="K20" s="47"/>
      <c r="L20" s="47"/>
      <c r="M20" s="47"/>
      <c r="N20" s="47"/>
      <c r="O20" s="47"/>
      <c r="P20" s="47"/>
      <c r="Q20" s="178"/>
    </row>
    <row r="21" spans="1:17" ht="12.75">
      <c r="A21" s="114"/>
      <c r="B21" s="47"/>
      <c r="C21" s="47"/>
      <c r="D21" s="47"/>
      <c r="E21" s="47"/>
      <c r="F21" s="47"/>
      <c r="G21" s="47"/>
      <c r="H21" s="47"/>
      <c r="I21" s="47"/>
      <c r="J21" s="47"/>
      <c r="K21" s="47"/>
      <c r="L21" s="47"/>
      <c r="M21" s="47"/>
      <c r="N21" s="47"/>
      <c r="O21" s="47"/>
      <c r="P21" s="47"/>
      <c r="Q21" s="178"/>
    </row>
    <row r="22" spans="1:17" ht="12.75">
      <c r="A22" s="114"/>
      <c r="B22" s="47"/>
      <c r="C22" s="47"/>
      <c r="D22" s="47"/>
      <c r="E22" s="47"/>
      <c r="F22" s="47"/>
      <c r="G22" s="47"/>
      <c r="H22" s="47"/>
      <c r="I22" s="47"/>
      <c r="J22" s="47"/>
      <c r="K22" s="47"/>
      <c r="L22" s="47"/>
      <c r="M22" s="47"/>
      <c r="N22" s="47"/>
      <c r="O22" s="47"/>
      <c r="P22" s="47"/>
      <c r="Q22" s="178"/>
    </row>
    <row r="23" spans="1:17" ht="12.75">
      <c r="A23" s="114"/>
      <c r="B23" s="47"/>
      <c r="C23" s="47"/>
      <c r="D23" s="47"/>
      <c r="E23" s="47"/>
      <c r="F23" s="47"/>
      <c r="G23" s="47"/>
      <c r="H23" s="47"/>
      <c r="I23" s="47"/>
      <c r="J23" s="47"/>
      <c r="K23" s="47"/>
      <c r="L23" s="47"/>
      <c r="M23" s="47"/>
      <c r="N23" s="47"/>
      <c r="O23" s="47"/>
      <c r="P23" s="47"/>
      <c r="Q23" s="178"/>
    </row>
    <row r="24" spans="1:17" ht="12.75">
      <c r="A24" s="114"/>
      <c r="B24" s="47"/>
      <c r="C24" s="47"/>
      <c r="D24" s="47"/>
      <c r="E24" s="47"/>
      <c r="F24" s="47"/>
      <c r="G24" s="47"/>
      <c r="H24" s="47"/>
      <c r="I24" s="47"/>
      <c r="J24" s="47"/>
      <c r="K24" s="47"/>
      <c r="L24" s="47"/>
      <c r="M24" s="47"/>
      <c r="N24" s="47"/>
      <c r="O24" s="47"/>
      <c r="P24" s="47"/>
      <c r="Q24" s="178"/>
    </row>
    <row r="25" spans="1:17" ht="12.75">
      <c r="A25" s="114"/>
      <c r="B25" s="47"/>
      <c r="C25" s="47"/>
      <c r="D25" s="47"/>
      <c r="E25" s="47"/>
      <c r="F25" s="47"/>
      <c r="G25" s="47"/>
      <c r="H25" s="47"/>
      <c r="I25" s="47"/>
      <c r="J25" s="47"/>
      <c r="K25" s="47"/>
      <c r="L25" s="47"/>
      <c r="M25" s="47"/>
      <c r="N25" s="47"/>
      <c r="O25" s="47"/>
      <c r="P25" s="47"/>
      <c r="Q25" s="178"/>
    </row>
    <row r="26" spans="1:17" ht="12.75">
      <c r="A26" s="114"/>
      <c r="B26" s="47"/>
      <c r="C26" s="47"/>
      <c r="D26" s="47"/>
      <c r="E26" s="47"/>
      <c r="F26" s="47"/>
      <c r="G26" s="47"/>
      <c r="H26" s="47"/>
      <c r="I26" s="47"/>
      <c r="J26" s="47"/>
      <c r="K26" s="47"/>
      <c r="L26" s="47"/>
      <c r="M26" s="47"/>
      <c r="N26" s="47"/>
      <c r="O26" s="47"/>
      <c r="P26" s="47"/>
      <c r="Q26" s="178"/>
    </row>
    <row r="27" spans="1:17" ht="12.75">
      <c r="A27" s="114"/>
      <c r="B27" s="47"/>
      <c r="C27" s="47"/>
      <c r="D27" s="47"/>
      <c r="E27" s="47"/>
      <c r="F27" s="47"/>
      <c r="G27" s="47"/>
      <c r="H27" s="47"/>
      <c r="I27" s="47"/>
      <c r="J27" s="47"/>
      <c r="K27" s="47"/>
      <c r="L27" s="47"/>
      <c r="M27" s="47"/>
      <c r="N27" s="47"/>
      <c r="O27" s="47"/>
      <c r="P27" s="47"/>
      <c r="Q27" s="178"/>
    </row>
    <row r="28" spans="1:17" ht="12.75">
      <c r="A28" s="114"/>
      <c r="B28" s="47"/>
      <c r="C28" s="47"/>
      <c r="D28" s="47"/>
      <c r="E28" s="47"/>
      <c r="F28" s="47"/>
      <c r="G28" s="47"/>
      <c r="H28" s="47"/>
      <c r="I28" s="47"/>
      <c r="J28" s="47"/>
      <c r="K28" s="47"/>
      <c r="L28" s="47"/>
      <c r="M28" s="47"/>
      <c r="N28" s="47"/>
      <c r="O28" s="47"/>
      <c r="P28" s="47"/>
      <c r="Q28" s="178"/>
    </row>
    <row r="29" spans="1:17" ht="12.75">
      <c r="A29" s="114"/>
      <c r="B29" s="47"/>
      <c r="C29" s="47"/>
      <c r="D29" s="47"/>
      <c r="E29" s="47"/>
      <c r="F29" s="47"/>
      <c r="G29" s="47"/>
      <c r="H29" s="47"/>
      <c r="I29" s="47"/>
      <c r="J29" s="47"/>
      <c r="K29" s="47"/>
      <c r="L29" s="47"/>
      <c r="M29" s="47"/>
      <c r="N29" s="47"/>
      <c r="O29" s="47"/>
      <c r="P29" s="47"/>
      <c r="Q29" s="178"/>
    </row>
    <row r="30" spans="1:17" ht="12.75">
      <c r="A30" s="114"/>
      <c r="B30" s="47"/>
      <c r="C30" s="47"/>
      <c r="D30" s="47"/>
      <c r="E30" s="47"/>
      <c r="F30" s="47"/>
      <c r="G30" s="47"/>
      <c r="H30" s="47"/>
      <c r="I30" s="47"/>
      <c r="J30" s="47"/>
      <c r="K30" s="47"/>
      <c r="L30" s="47"/>
      <c r="M30" s="47"/>
      <c r="N30" s="47"/>
      <c r="O30" s="47"/>
      <c r="P30" s="47"/>
      <c r="Q30" s="178"/>
    </row>
    <row r="31" spans="1:17" ht="12.75">
      <c r="A31" s="114"/>
      <c r="B31" s="47"/>
      <c r="C31" s="47"/>
      <c r="D31" s="47"/>
      <c r="E31" s="47"/>
      <c r="F31" s="47"/>
      <c r="G31" s="47"/>
      <c r="H31" s="47"/>
      <c r="I31" s="47"/>
      <c r="J31" s="47"/>
      <c r="K31" s="47"/>
      <c r="L31" s="47"/>
      <c r="M31" s="47"/>
      <c r="N31" s="47"/>
      <c r="O31" s="47"/>
      <c r="P31" s="47"/>
      <c r="Q31" s="178"/>
    </row>
    <row r="32" spans="1:17" ht="12.75">
      <c r="A32" s="114"/>
      <c r="B32" s="47"/>
      <c r="C32" s="47"/>
      <c r="D32" s="47"/>
      <c r="E32" s="47"/>
      <c r="F32" s="47"/>
      <c r="G32" s="47"/>
      <c r="H32" s="47"/>
      <c r="I32" s="47"/>
      <c r="J32" s="47"/>
      <c r="K32" s="47"/>
      <c r="L32" s="47"/>
      <c r="M32" s="47"/>
      <c r="N32" s="47"/>
      <c r="O32" s="47"/>
      <c r="P32" s="47"/>
      <c r="Q32" s="178"/>
    </row>
    <row r="33" spans="1:17" ht="12.75">
      <c r="A33" s="114"/>
      <c r="B33" s="47"/>
      <c r="C33" s="47"/>
      <c r="D33" s="47"/>
      <c r="E33" s="47"/>
      <c r="F33" s="47"/>
      <c r="G33" s="47"/>
      <c r="H33" s="47"/>
      <c r="I33" s="47"/>
      <c r="J33" s="47"/>
      <c r="K33" s="47"/>
      <c r="L33" s="47"/>
      <c r="M33" s="47"/>
      <c r="N33" s="47"/>
      <c r="O33" s="47"/>
      <c r="P33" s="47"/>
      <c r="Q33" s="178"/>
    </row>
    <row r="34" spans="1:17" ht="12.75">
      <c r="A34" s="114"/>
      <c r="B34" s="47"/>
      <c r="C34" s="47"/>
      <c r="D34" s="47"/>
      <c r="E34" s="47"/>
      <c r="F34" s="47"/>
      <c r="G34" s="47"/>
      <c r="H34" s="47"/>
      <c r="I34" s="47"/>
      <c r="J34" s="47"/>
      <c r="K34" s="47"/>
      <c r="L34" s="47"/>
      <c r="M34" s="47"/>
      <c r="N34" s="47"/>
      <c r="O34" s="47"/>
      <c r="P34" s="47"/>
      <c r="Q34" s="178"/>
    </row>
    <row r="35" spans="1:17" ht="12.75">
      <c r="A35" s="114"/>
      <c r="B35" s="47"/>
      <c r="C35" s="47"/>
      <c r="D35" s="47"/>
      <c r="E35" s="47"/>
      <c r="F35" s="47"/>
      <c r="G35" s="47"/>
      <c r="H35" s="47"/>
      <c r="I35" s="47"/>
      <c r="J35" s="47"/>
      <c r="K35" s="47"/>
      <c r="L35" s="47"/>
      <c r="M35" s="47"/>
      <c r="N35" s="47"/>
      <c r="O35" s="47"/>
      <c r="P35" s="47"/>
      <c r="Q35" s="178"/>
    </row>
    <row r="36" spans="1:17" ht="12.75">
      <c r="A36" s="114"/>
      <c r="B36" s="47"/>
      <c r="C36" s="47"/>
      <c r="D36" s="47"/>
      <c r="E36" s="47"/>
      <c r="F36" s="47"/>
      <c r="G36" s="47"/>
      <c r="H36" s="47"/>
      <c r="I36" s="47"/>
      <c r="J36" s="47"/>
      <c r="K36" s="47"/>
      <c r="L36" s="47"/>
      <c r="M36" s="47"/>
      <c r="N36" s="47"/>
      <c r="O36" s="47"/>
      <c r="P36" s="47"/>
      <c r="Q36" s="178"/>
    </row>
    <row r="37" spans="1:17" ht="12.75">
      <c r="A37" s="114"/>
      <c r="B37" s="47"/>
      <c r="C37" s="47"/>
      <c r="D37" s="47"/>
      <c r="E37" s="47"/>
      <c r="F37" s="47"/>
      <c r="G37" s="47"/>
      <c r="H37" s="47"/>
      <c r="I37" s="47"/>
      <c r="J37" s="47"/>
      <c r="K37" s="47"/>
      <c r="L37" s="47"/>
      <c r="M37" s="47"/>
      <c r="N37" s="47"/>
      <c r="O37" s="47"/>
      <c r="P37" s="47"/>
      <c r="Q37" s="178"/>
    </row>
    <row r="38" spans="1:17" ht="12.75">
      <c r="A38" s="114"/>
      <c r="B38" s="47"/>
      <c r="C38" s="47"/>
      <c r="D38" s="47"/>
      <c r="E38" s="47"/>
      <c r="F38" s="47"/>
      <c r="G38" s="47"/>
      <c r="H38" s="47"/>
      <c r="I38" s="47"/>
      <c r="J38" s="47"/>
      <c r="K38" s="47"/>
      <c r="L38" s="47"/>
      <c r="M38" s="47"/>
      <c r="N38" s="47"/>
      <c r="O38" s="47"/>
      <c r="P38" s="47"/>
      <c r="Q38" s="178"/>
    </row>
    <row r="39" spans="1:17" ht="12.75">
      <c r="A39" s="114"/>
      <c r="B39" s="47"/>
      <c r="C39" s="47"/>
      <c r="D39" s="47"/>
      <c r="E39" s="47"/>
      <c r="F39" s="47"/>
      <c r="G39" s="47"/>
      <c r="H39" s="47"/>
      <c r="I39" s="47"/>
      <c r="J39" s="47"/>
      <c r="K39" s="47"/>
      <c r="L39" s="47"/>
      <c r="M39" s="47"/>
      <c r="N39" s="47"/>
      <c r="O39" s="47"/>
      <c r="P39" s="47"/>
      <c r="Q39" s="178"/>
    </row>
    <row r="40" spans="1:17" ht="12.75">
      <c r="A40" s="114"/>
      <c r="B40" s="47"/>
      <c r="C40" s="47"/>
      <c r="D40" s="47"/>
      <c r="E40" s="47"/>
      <c r="F40" s="47"/>
      <c r="G40" s="47"/>
      <c r="H40" s="47"/>
      <c r="I40" s="47"/>
      <c r="J40" s="47"/>
      <c r="K40" s="47"/>
      <c r="L40" s="47"/>
      <c r="M40" s="47"/>
      <c r="N40" s="47"/>
      <c r="O40" s="47"/>
      <c r="P40" s="47"/>
      <c r="Q40" s="178"/>
    </row>
    <row r="41" spans="1:17" ht="12.75">
      <c r="A41" s="114"/>
      <c r="B41" s="47"/>
      <c r="C41" s="47"/>
      <c r="D41" s="47"/>
      <c r="E41" s="47"/>
      <c r="F41" s="47"/>
      <c r="G41" s="47"/>
      <c r="H41" s="47"/>
      <c r="I41" s="47"/>
      <c r="J41" s="47"/>
      <c r="K41" s="47"/>
      <c r="L41" s="47"/>
      <c r="M41" s="47"/>
      <c r="N41" s="47"/>
      <c r="O41" s="47"/>
      <c r="P41" s="47"/>
      <c r="Q41" s="178"/>
    </row>
    <row r="42" spans="1:17" ht="12.75">
      <c r="A42" s="114"/>
      <c r="B42" s="47"/>
      <c r="C42" s="47"/>
      <c r="D42" s="47"/>
      <c r="E42" s="47"/>
      <c r="F42" s="47"/>
      <c r="G42" s="47"/>
      <c r="H42" s="47"/>
      <c r="I42" s="47"/>
      <c r="J42" s="47"/>
      <c r="K42" s="47"/>
      <c r="L42" s="47"/>
      <c r="M42" s="47"/>
      <c r="N42" s="47"/>
      <c r="O42" s="47"/>
      <c r="P42" s="47"/>
      <c r="Q42" s="178"/>
    </row>
    <row r="43" spans="1:17" ht="12.75">
      <c r="A43" s="114"/>
      <c r="B43" s="47"/>
      <c r="C43" s="47"/>
      <c r="D43" s="47"/>
      <c r="E43" s="47"/>
      <c r="F43" s="47"/>
      <c r="G43" s="47"/>
      <c r="H43" s="47"/>
      <c r="I43" s="47"/>
      <c r="J43" s="47"/>
      <c r="K43" s="47"/>
      <c r="L43" s="47"/>
      <c r="M43" s="47"/>
      <c r="N43" s="47"/>
      <c r="O43" s="47"/>
      <c r="P43" s="47"/>
      <c r="Q43" s="178"/>
    </row>
    <row r="44" spans="1:17" ht="12.75">
      <c r="A44" s="114"/>
      <c r="B44" s="47"/>
      <c r="C44" s="47"/>
      <c r="D44" s="47"/>
      <c r="E44" s="47"/>
      <c r="F44" s="47"/>
      <c r="G44" s="47"/>
      <c r="H44" s="47"/>
      <c r="I44" s="47"/>
      <c r="J44" s="47"/>
      <c r="K44" s="47"/>
      <c r="L44" s="47"/>
      <c r="M44" s="47"/>
      <c r="N44" s="47"/>
      <c r="O44" s="47"/>
      <c r="P44" s="47"/>
      <c r="Q44" s="178"/>
    </row>
    <row r="45" spans="1:17" ht="12.75">
      <c r="A45" s="104"/>
      <c r="B45" s="207"/>
      <c r="C45" s="207"/>
      <c r="D45" s="207"/>
      <c r="E45" s="207"/>
      <c r="F45" s="207"/>
      <c r="G45" s="207"/>
      <c r="H45" s="207"/>
      <c r="I45" s="207"/>
      <c r="J45" s="207"/>
      <c r="K45" s="207"/>
      <c r="L45" s="207"/>
      <c r="M45" s="207"/>
      <c r="N45" s="207"/>
      <c r="O45" s="207"/>
      <c r="P45" s="207"/>
      <c r="Q45" s="115"/>
    </row>
  </sheetData>
  <sheetProtection/>
  <mergeCells count="2">
    <mergeCell ref="I1:Q3"/>
    <mergeCell ref="A1:H3"/>
  </mergeCells>
  <printOptions horizontalCentered="1" verticalCentered="1"/>
  <pageMargins left="0" right="0" top="0" bottom="0" header="0" footer="0"/>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213"/>
  <sheetViews>
    <sheetView tabSelected="1" zoomScale="80" zoomScaleNormal="80" zoomScalePageLayoutView="0" workbookViewId="0" topLeftCell="A19">
      <selection activeCell="E50" sqref="E50"/>
    </sheetView>
  </sheetViews>
  <sheetFormatPr defaultColWidth="9.140625" defaultRowHeight="12.75"/>
  <cols>
    <col min="1" max="1" width="54.57421875" style="183" customWidth="1"/>
    <col min="2" max="2" width="15.00390625" style="183" customWidth="1"/>
    <col min="3" max="4" width="17.57421875" style="183" customWidth="1"/>
    <col min="5" max="21" width="15.00390625" style="183" customWidth="1"/>
    <col min="22" max="22" width="13.57421875" style="183" customWidth="1"/>
    <col min="23" max="23" width="13.57421875" style="22" customWidth="1"/>
    <col min="24" max="24" width="13.421875" style="183" bestFit="1" customWidth="1"/>
    <col min="25" max="25" width="11.140625" style="183" bestFit="1" customWidth="1"/>
    <col min="26" max="16384" width="9.140625" style="183" customWidth="1"/>
  </cols>
  <sheetData>
    <row r="1" spans="1:2" ht="13.5">
      <c r="A1" s="183" t="s">
        <v>67</v>
      </c>
      <c r="B1" s="183" t="s">
        <v>265</v>
      </c>
    </row>
    <row r="2" spans="1:2" ht="13.5">
      <c r="A2" s="124" t="s">
        <v>5</v>
      </c>
      <c r="B2" s="192">
        <v>44697</v>
      </c>
    </row>
    <row r="3" spans="1:6" ht="13.5">
      <c r="A3" s="124" t="s">
        <v>63</v>
      </c>
      <c r="B3" s="124"/>
      <c r="F3" s="25"/>
    </row>
    <row r="4" spans="1:24" ht="13.5">
      <c r="A4" s="124" t="s">
        <v>9</v>
      </c>
      <c r="B4" s="124"/>
      <c r="X4" s="22"/>
    </row>
    <row r="5" spans="1:2" ht="13.5">
      <c r="A5" s="124" t="s">
        <v>38</v>
      </c>
      <c r="B5" s="183" t="s">
        <v>258</v>
      </c>
    </row>
    <row r="6" spans="1:2" ht="13.5">
      <c r="A6" s="183" t="s">
        <v>277</v>
      </c>
      <c r="B6" s="203">
        <v>40.1053065695317</v>
      </c>
    </row>
    <row r="7" spans="1:24" ht="13.5">
      <c r="A7" s="183" t="s">
        <v>149</v>
      </c>
      <c r="B7" s="203">
        <v>139.97006364205</v>
      </c>
      <c r="X7" s="211"/>
    </row>
    <row r="8" spans="1:4" ht="13.5">
      <c r="A8" s="124" t="s">
        <v>101</v>
      </c>
      <c r="B8" s="183">
        <v>22421</v>
      </c>
      <c r="D8" s="116"/>
    </row>
    <row r="9" spans="1:6" ht="13.5">
      <c r="A9" s="51" t="s">
        <v>296</v>
      </c>
      <c r="B9" s="183" t="s">
        <v>219</v>
      </c>
      <c r="F9" s="172"/>
    </row>
    <row r="10" spans="1:24" ht="13.5">
      <c r="A10" s="51" t="s">
        <v>228</v>
      </c>
      <c r="B10" s="183" t="s">
        <v>129</v>
      </c>
      <c r="X10" s="211"/>
    </row>
    <row r="11" spans="1:2" ht="13.5">
      <c r="A11" s="51" t="s">
        <v>12</v>
      </c>
      <c r="B11" s="183" t="s">
        <v>175</v>
      </c>
    </row>
    <row r="12" spans="1:2" ht="13.5">
      <c r="A12" s="51" t="s">
        <v>154</v>
      </c>
      <c r="B12" s="183">
        <v>19.2</v>
      </c>
    </row>
    <row r="13" spans="1:24" ht="13.5">
      <c r="A13" s="51" t="s">
        <v>33</v>
      </c>
      <c r="B13" s="183">
        <v>3</v>
      </c>
      <c r="X13" s="211"/>
    </row>
    <row r="14" spans="1:2" ht="13.5">
      <c r="A14" s="51" t="s">
        <v>328</v>
      </c>
      <c r="B14" s="183">
        <v>25</v>
      </c>
    </row>
    <row r="15" spans="1:2" ht="13.5">
      <c r="A15" s="51" t="s">
        <v>324</v>
      </c>
      <c r="B15" s="183">
        <v>176.7</v>
      </c>
    </row>
    <row r="16" spans="1:24" ht="13.5">
      <c r="A16" s="51" t="s">
        <v>182</v>
      </c>
      <c r="B16" s="183">
        <v>7.5</v>
      </c>
      <c r="X16" s="211"/>
    </row>
    <row r="17" spans="1:2" ht="13.5">
      <c r="A17" s="51" t="s">
        <v>255</v>
      </c>
      <c r="B17" s="183">
        <v>3</v>
      </c>
    </row>
    <row r="18" spans="1:2" ht="13.5">
      <c r="A18" s="51" t="s">
        <v>331</v>
      </c>
      <c r="B18" s="183">
        <v>31.5</v>
      </c>
    </row>
    <row r="19" spans="1:24" ht="13.5">
      <c r="A19" s="51" t="s">
        <v>270</v>
      </c>
      <c r="B19" s="183" t="b">
        <v>1</v>
      </c>
      <c r="X19" s="211"/>
    </row>
    <row r="20" spans="1:2" ht="13.5">
      <c r="A20" s="51" t="s">
        <v>99</v>
      </c>
      <c r="B20" s="183">
        <v>100</v>
      </c>
    </row>
    <row r="21" spans="1:2" ht="13.5">
      <c r="A21" s="51" t="s">
        <v>327</v>
      </c>
      <c r="B21" s="183">
        <v>0</v>
      </c>
    </row>
    <row r="22" spans="1:2" ht="13.5">
      <c r="A22" s="180" t="s">
        <v>292</v>
      </c>
      <c r="B22" s="183">
        <v>1</v>
      </c>
    </row>
    <row r="23" spans="1:21" ht="13.5">
      <c r="A23" s="180" t="s">
        <v>35</v>
      </c>
      <c r="B23" s="213">
        <v>1</v>
      </c>
      <c r="C23" s="213">
        <v>2</v>
      </c>
      <c r="D23" s="213">
        <v>3</v>
      </c>
      <c r="E23" s="213">
        <v>4</v>
      </c>
      <c r="F23" s="213">
        <v>5</v>
      </c>
      <c r="G23" s="213">
        <v>6</v>
      </c>
      <c r="H23" s="213">
        <v>7</v>
      </c>
      <c r="I23" s="213">
        <v>8</v>
      </c>
      <c r="J23" s="213">
        <v>9</v>
      </c>
      <c r="K23" s="213">
        <v>10</v>
      </c>
      <c r="L23" s="213">
        <v>11</v>
      </c>
      <c r="M23" s="213">
        <v>12</v>
      </c>
      <c r="N23" s="213">
        <v>13</v>
      </c>
      <c r="O23" s="213">
        <v>14</v>
      </c>
      <c r="P23" s="213">
        <v>15</v>
      </c>
      <c r="Q23" s="213">
        <v>16</v>
      </c>
      <c r="R23" s="213">
        <v>17</v>
      </c>
      <c r="S23" s="213">
        <v>18</v>
      </c>
      <c r="T23" s="213">
        <v>19</v>
      </c>
      <c r="U23" s="213">
        <v>20</v>
      </c>
    </row>
    <row r="24" spans="1:21" ht="13.5">
      <c r="A24" s="180" t="s">
        <v>45</v>
      </c>
      <c r="B24" s="1">
        <v>0</v>
      </c>
      <c r="C24" s="1">
        <v>0</v>
      </c>
      <c r="D24" s="1">
        <v>0.449</v>
      </c>
      <c r="E24" s="1">
        <v>2.247</v>
      </c>
      <c r="F24" s="1">
        <v>5.281</v>
      </c>
      <c r="G24" s="1">
        <v>10</v>
      </c>
      <c r="H24" s="1">
        <v>14.944</v>
      </c>
      <c r="I24" s="1">
        <v>18.034</v>
      </c>
      <c r="J24" s="1">
        <v>19.213</v>
      </c>
      <c r="K24" s="1">
        <v>19.382</v>
      </c>
      <c r="L24" s="1">
        <v>19.382</v>
      </c>
      <c r="M24" s="1">
        <v>19.382</v>
      </c>
      <c r="N24" s="65">
        <v>19.382</v>
      </c>
      <c r="O24" s="65">
        <v>19.382</v>
      </c>
      <c r="P24" s="65">
        <v>19.382</v>
      </c>
      <c r="Q24" s="65">
        <v>19.382</v>
      </c>
      <c r="R24" s="65">
        <v>19.382</v>
      </c>
      <c r="S24" s="65">
        <v>19.382</v>
      </c>
      <c r="T24" s="65">
        <v>19.382</v>
      </c>
      <c r="U24" s="65">
        <v>19.382</v>
      </c>
    </row>
    <row r="25" spans="1:21" ht="13.5">
      <c r="A25" s="51" t="s">
        <v>281</v>
      </c>
      <c r="B25" s="33">
        <v>0</v>
      </c>
      <c r="C25" s="173"/>
      <c r="D25" s="1"/>
      <c r="E25" s="1"/>
      <c r="F25" s="1"/>
      <c r="G25" s="1"/>
      <c r="H25" s="1"/>
      <c r="I25" s="1"/>
      <c r="J25" s="1"/>
      <c r="K25" s="1"/>
      <c r="L25" s="1"/>
      <c r="M25" s="1"/>
      <c r="N25" s="65"/>
      <c r="O25" s="65"/>
      <c r="P25" s="65"/>
      <c r="Q25" s="65"/>
      <c r="R25" s="65"/>
      <c r="S25" s="65"/>
      <c r="T25" s="65"/>
      <c r="U25" s="65"/>
    </row>
    <row r="26" spans="1:5" ht="13.5">
      <c r="A26" s="95" t="s">
        <v>206</v>
      </c>
      <c r="B26" s="124" t="s">
        <v>280</v>
      </c>
      <c r="C26" s="124" t="s">
        <v>177</v>
      </c>
      <c r="D26" s="124" t="s">
        <v>145</v>
      </c>
      <c r="E26" s="124" t="s">
        <v>204</v>
      </c>
    </row>
    <row r="27" spans="1:15" ht="13.5">
      <c r="A27" s="95" t="s">
        <v>10</v>
      </c>
      <c r="B27" s="183">
        <v>6.4</v>
      </c>
      <c r="C27" s="183">
        <v>7</v>
      </c>
      <c r="D27" s="183">
        <v>7.4</v>
      </c>
      <c r="E27" s="183">
        <v>6.5</v>
      </c>
      <c r="L27" s="144"/>
      <c r="M27" s="144"/>
      <c r="N27" s="204"/>
      <c r="O27" s="90"/>
    </row>
    <row r="28" spans="1:15" ht="13.5">
      <c r="A28" s="95" t="s">
        <v>36</v>
      </c>
      <c r="B28" s="183">
        <v>1.9078</v>
      </c>
      <c r="C28" s="183">
        <v>1.9245</v>
      </c>
      <c r="D28" s="183">
        <v>1.9236</v>
      </c>
      <c r="E28" s="183">
        <v>1.9078</v>
      </c>
      <c r="L28" s="144"/>
      <c r="M28" s="144"/>
      <c r="N28" s="174"/>
      <c r="O28" s="90"/>
    </row>
    <row r="29" spans="1:15" ht="13.5">
      <c r="A29" s="95" t="s">
        <v>332</v>
      </c>
      <c r="B29" s="183">
        <v>7.0874</v>
      </c>
      <c r="C29" s="183">
        <v>7.6967</v>
      </c>
      <c r="D29" s="183">
        <v>8.1583</v>
      </c>
      <c r="L29" s="144"/>
      <c r="M29" s="144"/>
      <c r="N29" s="204"/>
      <c r="O29" s="90"/>
    </row>
    <row r="30" spans="1:15" ht="13.5">
      <c r="A30" s="95" t="s">
        <v>100</v>
      </c>
      <c r="B30" s="183">
        <v>0</v>
      </c>
      <c r="C30" s="183" t="s">
        <v>166</v>
      </c>
      <c r="D30" s="48"/>
      <c r="L30" s="90"/>
      <c r="M30" s="90"/>
      <c r="N30" s="138"/>
      <c r="O30" s="90"/>
    </row>
    <row r="31" spans="1:15" ht="13.5">
      <c r="A31" s="95" t="s">
        <v>290</v>
      </c>
      <c r="B31" s="183">
        <v>0.11</v>
      </c>
      <c r="C31" s="183" t="s">
        <v>166</v>
      </c>
      <c r="L31" s="90"/>
      <c r="M31" s="90"/>
      <c r="N31" s="81"/>
      <c r="O31" s="90"/>
    </row>
    <row r="32" spans="1:15" ht="13.5">
      <c r="A32" s="95" t="s">
        <v>144</v>
      </c>
      <c r="B32" s="183">
        <v>30</v>
      </c>
      <c r="C32" s="183" t="s">
        <v>166</v>
      </c>
      <c r="L32" s="144"/>
      <c r="M32" s="144"/>
      <c r="N32" s="81"/>
      <c r="O32" s="90"/>
    </row>
    <row r="33" spans="1:15" ht="13.5">
      <c r="A33" s="95" t="s">
        <v>331</v>
      </c>
      <c r="B33" s="183">
        <v>31.5</v>
      </c>
      <c r="C33" s="183" t="s">
        <v>166</v>
      </c>
      <c r="L33" s="144"/>
      <c r="M33" s="144"/>
      <c r="N33" s="174"/>
      <c r="O33" s="90"/>
    </row>
    <row r="34" spans="1:15" ht="13.5">
      <c r="A34" s="95" t="s">
        <v>220</v>
      </c>
      <c r="B34" s="73">
        <v>0</v>
      </c>
      <c r="C34" s="183" t="s">
        <v>166</v>
      </c>
      <c r="D34" s="84"/>
      <c r="E34" s="84"/>
      <c r="F34" s="84"/>
      <c r="L34" s="144"/>
      <c r="M34" s="144"/>
      <c r="N34" s="169"/>
      <c r="O34" s="90"/>
    </row>
    <row r="35" spans="1:15" ht="13.5">
      <c r="A35" s="139" t="s">
        <v>208</v>
      </c>
      <c r="B35" s="177">
        <v>6.53497874745678</v>
      </c>
      <c r="C35" s="84" t="s">
        <v>246</v>
      </c>
      <c r="D35" s="84"/>
      <c r="E35" s="84"/>
      <c r="F35" s="84"/>
      <c r="L35" s="90"/>
      <c r="M35" s="90"/>
      <c r="N35" s="90"/>
      <c r="O35" s="90"/>
    </row>
    <row r="36" spans="1:6" ht="13.5">
      <c r="A36" s="139" t="s">
        <v>97</v>
      </c>
      <c r="B36" s="196">
        <v>0</v>
      </c>
      <c r="C36" s="84" t="s">
        <v>246</v>
      </c>
      <c r="D36" s="84"/>
      <c r="E36" s="84"/>
      <c r="F36" s="84"/>
    </row>
    <row r="37" spans="1:6" ht="13.5">
      <c r="A37" s="139" t="s">
        <v>25</v>
      </c>
      <c r="B37" s="177">
        <v>10.1619893952787</v>
      </c>
      <c r="C37" s="84" t="s">
        <v>246</v>
      </c>
      <c r="D37" s="84"/>
      <c r="E37" s="84"/>
      <c r="F37" s="84"/>
    </row>
    <row r="38" spans="1:8" ht="13.5">
      <c r="A38" s="139" t="s">
        <v>202</v>
      </c>
      <c r="B38" s="43">
        <v>188.528609821302</v>
      </c>
      <c r="C38" s="84" t="s">
        <v>246</v>
      </c>
      <c r="D38" s="84"/>
      <c r="E38" s="84"/>
      <c r="F38" s="84"/>
      <c r="H38" s="183" t="s">
        <v>0</v>
      </c>
    </row>
    <row r="39" spans="1:6" ht="13.5">
      <c r="A39" s="139" t="s">
        <v>31</v>
      </c>
      <c r="B39" s="117">
        <v>68812.9425847753</v>
      </c>
      <c r="C39" s="84" t="s">
        <v>246</v>
      </c>
      <c r="D39" s="84"/>
      <c r="E39" s="84"/>
      <c r="F39" s="84"/>
    </row>
    <row r="40" spans="1:6" ht="13.5">
      <c r="A40" s="139" t="s">
        <v>136</v>
      </c>
      <c r="B40" s="117">
        <v>5734.4118820646</v>
      </c>
      <c r="C40" s="84" t="s">
        <v>246</v>
      </c>
      <c r="D40" s="84"/>
      <c r="E40" s="84"/>
      <c r="F40" s="84"/>
    </row>
    <row r="41" spans="1:6" ht="13.5">
      <c r="A41" s="139" t="s">
        <v>11</v>
      </c>
      <c r="B41" s="152">
        <v>0.879959179166014</v>
      </c>
      <c r="C41" s="84" t="s">
        <v>246</v>
      </c>
      <c r="D41" s="84"/>
      <c r="E41" s="84"/>
      <c r="F41" s="84"/>
    </row>
    <row r="42" spans="1:13" ht="13.5">
      <c r="A42" s="124"/>
      <c r="B42" s="84" t="s">
        <v>32</v>
      </c>
      <c r="C42" s="84" t="s">
        <v>143</v>
      </c>
      <c r="D42" s="84" t="s">
        <v>240</v>
      </c>
      <c r="E42" s="84" t="s">
        <v>16</v>
      </c>
      <c r="F42" s="84" t="s">
        <v>48</v>
      </c>
      <c r="G42" s="183" t="s">
        <v>157</v>
      </c>
      <c r="H42" s="183" t="s">
        <v>253</v>
      </c>
      <c r="I42" s="183" t="s">
        <v>34</v>
      </c>
      <c r="J42" s="183" t="s">
        <v>69</v>
      </c>
      <c r="K42" s="183" t="s">
        <v>8</v>
      </c>
      <c r="L42" s="183" t="s">
        <v>120</v>
      </c>
      <c r="M42" s="183" t="s">
        <v>223</v>
      </c>
    </row>
    <row r="43" spans="1:14" ht="13.5">
      <c r="A43" s="139" t="s">
        <v>209</v>
      </c>
      <c r="B43" s="117">
        <v>9450.65</v>
      </c>
      <c r="C43" s="117">
        <v>7853.19</v>
      </c>
      <c r="D43" s="117">
        <v>7560.52011008732</v>
      </c>
      <c r="E43" s="117">
        <v>4389.98</v>
      </c>
      <c r="F43" s="117">
        <v>4536.31</v>
      </c>
      <c r="G43" s="117">
        <v>3658.32</v>
      </c>
      <c r="H43" s="117">
        <v>3024.21</v>
      </c>
      <c r="I43" s="117">
        <v>3024.21</v>
      </c>
      <c r="J43" s="117">
        <v>4389.98</v>
      </c>
      <c r="K43" s="117">
        <v>6048.42</v>
      </c>
      <c r="L43" s="117">
        <v>7316.63236460063</v>
      </c>
      <c r="M43" s="117">
        <v>7560.52011008732</v>
      </c>
      <c r="N43" s="84" t="s">
        <v>246</v>
      </c>
    </row>
    <row r="44" spans="1:6" ht="13.5">
      <c r="A44" s="22"/>
      <c r="B44" s="201"/>
      <c r="C44" s="67"/>
      <c r="D44" s="84"/>
      <c r="E44" s="84"/>
      <c r="F44" s="84"/>
    </row>
    <row r="45" spans="1:21" ht="13.5">
      <c r="A45" s="37" t="s">
        <v>138</v>
      </c>
      <c r="B45" s="17" t="s">
        <v>18</v>
      </c>
      <c r="C45" s="17" t="s">
        <v>171</v>
      </c>
      <c r="D45" s="17" t="s">
        <v>314</v>
      </c>
      <c r="E45" s="17" t="s">
        <v>139</v>
      </c>
      <c r="F45" s="17" t="s">
        <v>279</v>
      </c>
      <c r="G45" s="17" t="s">
        <v>21</v>
      </c>
      <c r="H45" s="17" t="s">
        <v>174</v>
      </c>
      <c r="I45" s="17" t="s">
        <v>319</v>
      </c>
      <c r="J45" s="17" t="s">
        <v>141</v>
      </c>
      <c r="K45" s="17" t="s">
        <v>272</v>
      </c>
      <c r="L45" s="17" t="s">
        <v>15</v>
      </c>
      <c r="M45" s="17" t="s">
        <v>167</v>
      </c>
      <c r="N45" s="17" t="s">
        <v>309</v>
      </c>
      <c r="O45" s="17" t="s">
        <v>134</v>
      </c>
      <c r="P45" s="17" t="s">
        <v>276</v>
      </c>
      <c r="Q45" s="17" t="s">
        <v>95</v>
      </c>
      <c r="R45" s="17" t="s">
        <v>244</v>
      </c>
      <c r="S45" s="17" t="s">
        <v>71</v>
      </c>
      <c r="T45" s="17" t="s">
        <v>211</v>
      </c>
      <c r="U45" s="17" t="s">
        <v>58</v>
      </c>
    </row>
    <row r="46" spans="1:21" ht="13.5">
      <c r="A46" s="37" t="s">
        <v>45</v>
      </c>
      <c r="B46" s="122">
        <f aca="true" t="shared" si="0" ref="B46:U46">B24</f>
        <v>0</v>
      </c>
      <c r="C46" s="122">
        <f t="shared" si="0"/>
        <v>0</v>
      </c>
      <c r="D46" s="122">
        <f t="shared" si="0"/>
        <v>0.449</v>
      </c>
      <c r="E46" s="122">
        <f t="shared" si="0"/>
        <v>2.247</v>
      </c>
      <c r="F46" s="122">
        <f t="shared" si="0"/>
        <v>5.281</v>
      </c>
      <c r="G46" s="122">
        <f t="shared" si="0"/>
        <v>10</v>
      </c>
      <c r="H46" s="122">
        <f t="shared" si="0"/>
        <v>14.944</v>
      </c>
      <c r="I46" s="122">
        <f t="shared" si="0"/>
        <v>18.034</v>
      </c>
      <c r="J46" s="122">
        <f t="shared" si="0"/>
        <v>19.213</v>
      </c>
      <c r="K46" s="122">
        <f t="shared" si="0"/>
        <v>19.382</v>
      </c>
      <c r="L46" s="122">
        <f t="shared" si="0"/>
        <v>19.382</v>
      </c>
      <c r="M46" s="122">
        <f t="shared" si="0"/>
        <v>19.382</v>
      </c>
      <c r="N46" s="122">
        <f t="shared" si="0"/>
        <v>19.382</v>
      </c>
      <c r="O46" s="122">
        <f t="shared" si="0"/>
        <v>19.382</v>
      </c>
      <c r="P46" s="122">
        <f t="shared" si="0"/>
        <v>19.382</v>
      </c>
      <c r="Q46" s="122">
        <f t="shared" si="0"/>
        <v>19.382</v>
      </c>
      <c r="R46" s="122">
        <f t="shared" si="0"/>
        <v>19.382</v>
      </c>
      <c r="S46" s="122">
        <f t="shared" si="0"/>
        <v>19.382</v>
      </c>
      <c r="T46" s="122">
        <f t="shared" si="0"/>
        <v>19.382</v>
      </c>
      <c r="U46" s="122">
        <f t="shared" si="0"/>
        <v>19.382</v>
      </c>
    </row>
    <row r="47" spans="1:21" ht="13.5">
      <c r="A47" s="37" t="s">
        <v>288</v>
      </c>
      <c r="B47" s="134">
        <f aca="true" t="shared" si="1" ref="B47:U47">(B$46*1000)/(0.5*1.225*(B$23^3)*$B$15)</f>
        <v>0</v>
      </c>
      <c r="C47" s="134">
        <f t="shared" si="1"/>
        <v>0</v>
      </c>
      <c r="D47" s="134">
        <f t="shared" si="1"/>
        <v>0.15365260736753986</v>
      </c>
      <c r="E47" s="134">
        <f t="shared" si="1"/>
        <v>0.3243997089497938</v>
      </c>
      <c r="F47" s="134">
        <f t="shared" si="1"/>
        <v>0.3903583844403636</v>
      </c>
      <c r="G47" s="134">
        <f t="shared" si="1"/>
        <v>0.42776338353992166</v>
      </c>
      <c r="H47" s="134">
        <f t="shared" si="1"/>
        <v>0.40255951509680676</v>
      </c>
      <c r="I47" s="134">
        <f t="shared" si="1"/>
        <v>0.32544639247889307</v>
      </c>
      <c r="J47" s="134">
        <f t="shared" si="1"/>
        <v>0.2435146040874819</v>
      </c>
      <c r="K47" s="134">
        <f t="shared" si="1"/>
        <v>0.17908365383504846</v>
      </c>
      <c r="L47" s="134">
        <f t="shared" si="1"/>
        <v>0.1345481997258065</v>
      </c>
      <c r="M47" s="134">
        <f t="shared" si="1"/>
        <v>0.10363637374713452</v>
      </c>
      <c r="N47" s="134">
        <f t="shared" si="1"/>
        <v>0.08151281467230244</v>
      </c>
      <c r="O47" s="134">
        <f t="shared" si="1"/>
        <v>0.06526372224309346</v>
      </c>
      <c r="P47" s="134">
        <f t="shared" si="1"/>
        <v>0.05306182335853287</v>
      </c>
      <c r="Q47" s="134">
        <f t="shared" si="1"/>
        <v>0.04372159517457237</v>
      </c>
      <c r="R47" s="134">
        <f t="shared" si="1"/>
        <v>0.03645097778038845</v>
      </c>
      <c r="S47" s="134">
        <f t="shared" si="1"/>
        <v>0.030707073702854668</v>
      </c>
      <c r="T47" s="134">
        <f t="shared" si="1"/>
        <v>0.026109294916904568</v>
      </c>
      <c r="U47" s="134">
        <f t="shared" si="1"/>
        <v>0.022385456729381057</v>
      </c>
    </row>
    <row r="48" spans="1:22" ht="13.5">
      <c r="A48" s="22"/>
      <c r="B48" s="133"/>
      <c r="C48" s="133"/>
      <c r="D48" s="133"/>
      <c r="E48" s="133"/>
      <c r="F48" s="133"/>
      <c r="G48" s="133"/>
      <c r="H48" s="133"/>
      <c r="I48" s="133"/>
      <c r="J48" s="133"/>
      <c r="K48" s="133"/>
      <c r="L48" s="133"/>
      <c r="M48" s="133"/>
      <c r="N48" s="133"/>
      <c r="O48" s="133"/>
      <c r="P48" s="133"/>
      <c r="Q48" s="133"/>
      <c r="R48" s="133"/>
      <c r="S48" s="133"/>
      <c r="T48" s="133"/>
      <c r="U48" s="133"/>
      <c r="V48" s="124"/>
    </row>
    <row r="49" spans="1:22" ht="13.5">
      <c r="A49" s="124"/>
      <c r="B49" s="166"/>
      <c r="C49" s="166"/>
      <c r="D49" s="166"/>
      <c r="E49" s="166"/>
      <c r="F49" s="166"/>
      <c r="G49" s="166"/>
      <c r="H49" s="166"/>
      <c r="I49" s="166"/>
      <c r="J49" s="166"/>
      <c r="K49" s="166"/>
      <c r="L49" s="166"/>
      <c r="M49" s="166"/>
      <c r="N49" s="166"/>
      <c r="O49" s="166"/>
      <c r="P49" s="166"/>
      <c r="Q49" s="166"/>
      <c r="R49" s="166"/>
      <c r="S49" s="166"/>
      <c r="T49" s="166"/>
      <c r="U49" s="166"/>
      <c r="V49" s="124"/>
    </row>
    <row r="50" spans="2:23" s="124" customFormat="1" ht="13.5">
      <c r="B50" s="166"/>
      <c r="C50" s="166"/>
      <c r="D50" s="166"/>
      <c r="E50" s="166"/>
      <c r="F50" s="166"/>
      <c r="G50" s="166"/>
      <c r="H50" s="166"/>
      <c r="I50" s="166"/>
      <c r="J50" s="166"/>
      <c r="K50" s="166"/>
      <c r="L50" s="166"/>
      <c r="M50" s="166"/>
      <c r="N50" s="166"/>
      <c r="O50" s="166"/>
      <c r="P50" s="166"/>
      <c r="Q50" s="166"/>
      <c r="R50" s="166"/>
      <c r="S50" s="166"/>
      <c r="T50" s="166"/>
      <c r="U50" s="166"/>
      <c r="W50" s="22"/>
    </row>
    <row r="51" spans="1:23" s="124" customFormat="1" ht="13.5">
      <c r="A51" s="22" t="s">
        <v>39</v>
      </c>
      <c r="B51" s="201"/>
      <c r="C51" s="67" t="s">
        <v>93</v>
      </c>
      <c r="D51" s="166"/>
      <c r="E51" s="166"/>
      <c r="F51" s="166"/>
      <c r="G51" s="166"/>
      <c r="H51" s="166"/>
      <c r="I51" s="166"/>
      <c r="J51" s="166"/>
      <c r="K51" s="166"/>
      <c r="L51" s="166"/>
      <c r="M51" s="166"/>
      <c r="N51" s="166"/>
      <c r="O51" s="166"/>
      <c r="P51" s="166"/>
      <c r="Q51" s="166"/>
      <c r="R51" s="166"/>
      <c r="S51" s="166"/>
      <c r="T51" s="166"/>
      <c r="U51" s="166"/>
      <c r="W51" s="22"/>
    </row>
    <row r="52" spans="1:24" ht="13.5">
      <c r="A52" s="124" t="s">
        <v>248</v>
      </c>
      <c r="B52" s="124">
        <v>55</v>
      </c>
      <c r="C52" s="58" t="s">
        <v>42</v>
      </c>
      <c r="E52" s="78"/>
      <c r="X52" s="22"/>
    </row>
    <row r="53" spans="1:24" ht="13.5">
      <c r="A53" s="124" t="s">
        <v>29</v>
      </c>
      <c r="B53" s="124">
        <v>20</v>
      </c>
      <c r="C53" s="58" t="s">
        <v>52</v>
      </c>
      <c r="E53" s="78"/>
      <c r="X53" s="22"/>
    </row>
    <row r="54" spans="1:24" ht="13.5">
      <c r="A54" s="92" t="s">
        <v>2</v>
      </c>
      <c r="B54" s="124">
        <v>0</v>
      </c>
      <c r="C54" s="58" t="s">
        <v>27</v>
      </c>
      <c r="E54" s="78"/>
      <c r="F54" s="124"/>
      <c r="X54" s="22"/>
    </row>
    <row r="55" spans="1:24" ht="13.5">
      <c r="A55" s="92" t="s">
        <v>251</v>
      </c>
      <c r="B55" s="183">
        <v>0</v>
      </c>
      <c r="C55" s="58" t="s">
        <v>40</v>
      </c>
      <c r="E55" s="78"/>
      <c r="X55" s="22"/>
    </row>
    <row r="56" spans="1:3" ht="13.5">
      <c r="A56" s="92" t="s">
        <v>80</v>
      </c>
      <c r="B56" s="93">
        <v>10</v>
      </c>
      <c r="C56" s="78"/>
    </row>
    <row r="57" spans="1:5" ht="13.5">
      <c r="A57" s="92" t="s">
        <v>49</v>
      </c>
      <c r="B57" s="124">
        <v>0</v>
      </c>
      <c r="C57" s="25"/>
      <c r="E57" s="78"/>
    </row>
    <row r="58" spans="1:6" ht="13.5">
      <c r="A58" s="92" t="s">
        <v>111</v>
      </c>
      <c r="B58" s="124">
        <v>0</v>
      </c>
      <c r="C58" s="202">
        <v>1</v>
      </c>
      <c r="D58" s="124">
        <f>IF(C58=1,B58,0)</f>
        <v>0</v>
      </c>
      <c r="E58" s="78"/>
      <c r="F58" s="58" t="s">
        <v>315</v>
      </c>
    </row>
    <row r="59" spans="1:6" ht="13.5">
      <c r="A59" s="92" t="s">
        <v>165</v>
      </c>
      <c r="B59" s="124">
        <v>0</v>
      </c>
      <c r="C59" s="202">
        <v>1</v>
      </c>
      <c r="D59" s="170">
        <f>IF(C59=1,B59,0)</f>
        <v>0</v>
      </c>
      <c r="E59" s="78"/>
      <c r="F59" s="58" t="s">
        <v>227</v>
      </c>
    </row>
    <row r="60" spans="1:9" ht="13.5">
      <c r="A60" s="92" t="s">
        <v>24</v>
      </c>
      <c r="B60" s="124">
        <v>0</v>
      </c>
      <c r="C60" s="202">
        <v>1</v>
      </c>
      <c r="D60" s="170">
        <f>IF(C60=1,B60,0)</f>
        <v>0</v>
      </c>
      <c r="E60" s="22"/>
      <c r="F60" s="211" t="s">
        <v>227</v>
      </c>
      <c r="G60" s="124"/>
      <c r="I60" s="124"/>
    </row>
    <row r="61" spans="1:9" ht="13.5">
      <c r="A61" s="92" t="s">
        <v>158</v>
      </c>
      <c r="B61" s="124">
        <v>0</v>
      </c>
      <c r="C61" s="202">
        <v>1</v>
      </c>
      <c r="D61" s="170">
        <f>IF(C61=1,B61,0)</f>
        <v>0</v>
      </c>
      <c r="E61" s="22"/>
      <c r="F61" s="211" t="s">
        <v>227</v>
      </c>
      <c r="G61" s="124"/>
      <c r="I61" s="124"/>
    </row>
    <row r="62" spans="1:6" ht="13.5">
      <c r="A62" s="92" t="s">
        <v>242</v>
      </c>
      <c r="B62" s="124">
        <v>0</v>
      </c>
      <c r="C62" s="202">
        <v>1</v>
      </c>
      <c r="D62" s="170">
        <f>IF(C62=1,B62,0)</f>
        <v>0</v>
      </c>
      <c r="E62" s="200">
        <f>SUM(D59:D62)</f>
        <v>0</v>
      </c>
      <c r="F62" s="58" t="s">
        <v>227</v>
      </c>
    </row>
    <row r="63" spans="1:5" ht="13.5">
      <c r="A63" s="179" t="s">
        <v>105</v>
      </c>
      <c r="B63" s="124">
        <v>0</v>
      </c>
      <c r="C63" s="22"/>
      <c r="E63" s="78"/>
    </row>
    <row r="64" spans="1:5" ht="13.5">
      <c r="A64" s="179" t="s">
        <v>215</v>
      </c>
      <c r="B64" s="183">
        <v>0</v>
      </c>
      <c r="C64" s="22"/>
      <c r="E64" s="78"/>
    </row>
    <row r="65" spans="1:6" ht="13.5">
      <c r="A65" s="179" t="s">
        <v>6</v>
      </c>
      <c r="B65" s="183">
        <v>0</v>
      </c>
      <c r="C65" s="22"/>
      <c r="E65" s="78"/>
      <c r="F65" s="78"/>
    </row>
    <row r="66" spans="1:7" ht="13.5">
      <c r="A66" s="179" t="s">
        <v>86</v>
      </c>
      <c r="B66" s="124">
        <v>0</v>
      </c>
      <c r="C66" s="22"/>
      <c r="E66" s="78"/>
      <c r="F66" s="124"/>
      <c r="G66" s="124"/>
    </row>
    <row r="67" spans="1:7" ht="13.5">
      <c r="A67" s="179" t="s">
        <v>284</v>
      </c>
      <c r="B67" s="124">
        <v>0</v>
      </c>
      <c r="C67" s="22"/>
      <c r="E67" s="78"/>
      <c r="F67" s="22"/>
      <c r="G67" s="124"/>
    </row>
    <row r="68" spans="1:7" ht="13.5">
      <c r="A68" s="179" t="s">
        <v>285</v>
      </c>
      <c r="B68" s="124">
        <v>0</v>
      </c>
      <c r="C68" s="22"/>
      <c r="E68" s="78"/>
      <c r="F68" s="22"/>
      <c r="G68" s="124"/>
    </row>
    <row r="69" spans="1:7" ht="13.5">
      <c r="A69" s="179" t="s">
        <v>329</v>
      </c>
      <c r="B69" s="124">
        <v>0</v>
      </c>
      <c r="C69" s="22"/>
      <c r="F69" s="22"/>
      <c r="G69" s="124"/>
    </row>
    <row r="70" spans="1:7" ht="13.5">
      <c r="A70" s="179" t="s">
        <v>199</v>
      </c>
      <c r="B70" s="124">
        <v>0</v>
      </c>
      <c r="C70" s="22"/>
      <c r="F70" s="22"/>
      <c r="G70" s="124"/>
    </row>
    <row r="71" spans="1:7" ht="13.5">
      <c r="A71" s="179" t="s">
        <v>119</v>
      </c>
      <c r="B71" s="124">
        <v>0</v>
      </c>
      <c r="C71" s="22"/>
      <c r="F71" s="22"/>
      <c r="G71" s="124"/>
    </row>
    <row r="72" spans="1:3" ht="13.5">
      <c r="A72" s="71" t="s">
        <v>68</v>
      </c>
      <c r="B72" s="22">
        <v>0</v>
      </c>
      <c r="C72" s="22"/>
    </row>
    <row r="73" spans="1:3" ht="13.5">
      <c r="A73" s="188" t="s">
        <v>64</v>
      </c>
      <c r="B73" s="183">
        <v>0</v>
      </c>
      <c r="C73" s="167"/>
    </row>
    <row r="74" spans="1:5" ht="13.5">
      <c r="A74" s="188" t="s">
        <v>169</v>
      </c>
      <c r="B74" s="183">
        <v>0</v>
      </c>
      <c r="C74" s="167"/>
      <c r="E74" s="78"/>
    </row>
    <row r="75" spans="1:5" ht="13.5">
      <c r="A75" s="188" t="s">
        <v>156</v>
      </c>
      <c r="B75" s="183">
        <v>0</v>
      </c>
      <c r="C75" s="167"/>
      <c r="E75" s="78"/>
    </row>
    <row r="76" spans="1:5" ht="13.5">
      <c r="A76" s="188" t="s">
        <v>146</v>
      </c>
      <c r="B76" s="183">
        <v>0</v>
      </c>
      <c r="C76" s="22"/>
      <c r="E76" s="78"/>
    </row>
    <row r="77" spans="1:5" ht="13.5">
      <c r="A77" s="188" t="s">
        <v>127</v>
      </c>
      <c r="B77" s="183">
        <v>0</v>
      </c>
      <c r="C77" s="22"/>
      <c r="E77" s="78"/>
    </row>
    <row r="78" spans="1:5" ht="13.5">
      <c r="A78" s="188" t="s">
        <v>181</v>
      </c>
      <c r="B78" s="183">
        <v>0</v>
      </c>
      <c r="C78" s="167"/>
      <c r="E78" s="78"/>
    </row>
    <row r="79" spans="1:5" ht="13.5">
      <c r="A79" s="188" t="s">
        <v>1</v>
      </c>
      <c r="B79" s="183">
        <v>0</v>
      </c>
      <c r="C79" s="167"/>
      <c r="E79" s="78"/>
    </row>
    <row r="80" spans="1:5" ht="13.5">
      <c r="A80" s="188" t="s">
        <v>187</v>
      </c>
      <c r="B80" s="183">
        <v>0</v>
      </c>
      <c r="C80" s="167"/>
      <c r="E80" s="78"/>
    </row>
    <row r="81" spans="1:5" ht="13.5">
      <c r="A81" s="188" t="s">
        <v>266</v>
      </c>
      <c r="B81" s="183">
        <v>0</v>
      </c>
      <c r="C81" s="22"/>
      <c r="E81" s="78"/>
    </row>
    <row r="82" spans="1:5" ht="13.5">
      <c r="A82" s="188" t="s">
        <v>114</v>
      </c>
      <c r="B82" s="183">
        <v>0</v>
      </c>
      <c r="C82" s="22"/>
      <c r="E82" s="78"/>
    </row>
    <row r="83" spans="1:5" ht="13.5">
      <c r="A83" s="51" t="s">
        <v>291</v>
      </c>
      <c r="B83" s="124">
        <v>0.356</v>
      </c>
      <c r="C83" s="58" t="s">
        <v>162</v>
      </c>
      <c r="D83" s="58"/>
      <c r="E83" s="78"/>
    </row>
    <row r="84" spans="1:23" s="124" customFormat="1" ht="13.5">
      <c r="A84" s="51" t="s">
        <v>326</v>
      </c>
      <c r="B84" s="124">
        <v>1</v>
      </c>
      <c r="C84" s="67" t="s">
        <v>55</v>
      </c>
      <c r="W84" s="22"/>
    </row>
    <row r="85" spans="1:23" s="124" customFormat="1" ht="13.5">
      <c r="A85" s="51" t="s">
        <v>320</v>
      </c>
      <c r="B85" s="124">
        <v>1</v>
      </c>
      <c r="C85" s="211" t="s">
        <v>56</v>
      </c>
      <c r="W85" s="22"/>
    </row>
    <row r="86" spans="1:23" s="124" customFormat="1" ht="13.5">
      <c r="A86" s="51" t="s">
        <v>160</v>
      </c>
      <c r="B86" s="124">
        <v>17</v>
      </c>
      <c r="C86" s="211" t="s">
        <v>152</v>
      </c>
      <c r="W86" s="22"/>
    </row>
    <row r="87" spans="1:8" ht="13.5">
      <c r="A87" s="51" t="s">
        <v>287</v>
      </c>
      <c r="B87" s="124">
        <v>0</v>
      </c>
      <c r="C87" s="211" t="s">
        <v>126</v>
      </c>
      <c r="D87" s="124"/>
      <c r="E87" s="22"/>
      <c r="F87" s="124"/>
      <c r="G87" s="124"/>
      <c r="H87" s="124"/>
    </row>
    <row r="88" spans="1:10" ht="13.5">
      <c r="A88" s="51" t="s">
        <v>259</v>
      </c>
      <c r="B88" s="124">
        <v>0</v>
      </c>
      <c r="C88" s="211" t="s">
        <v>76</v>
      </c>
      <c r="D88" s="124"/>
      <c r="E88" s="22"/>
      <c r="F88" s="124"/>
      <c r="G88" s="124"/>
      <c r="H88" s="124"/>
      <c r="J88" s="183" t="s">
        <v>316</v>
      </c>
    </row>
    <row r="89" spans="1:8" ht="14.25">
      <c r="A89" s="126" t="s">
        <v>243</v>
      </c>
      <c r="B89" s="124">
        <v>0</v>
      </c>
      <c r="C89" s="211" t="s">
        <v>257</v>
      </c>
      <c r="D89" s="124"/>
      <c r="E89" s="22"/>
      <c r="F89" s="124"/>
      <c r="G89" s="124"/>
      <c r="H89" s="124"/>
    </row>
    <row r="90" spans="1:5" ht="13.5">
      <c r="A90" s="95" t="s">
        <v>271</v>
      </c>
      <c r="B90" s="124">
        <v>0</v>
      </c>
      <c r="C90" s="110">
        <v>0</v>
      </c>
      <c r="D90" s="136" t="str">
        <f>IF(C90=2,"元利均等",IF(C90=1,"元金均等","融資無し"))</f>
        <v>融資無し</v>
      </c>
      <c r="E90" s="58" t="s">
        <v>300</v>
      </c>
    </row>
    <row r="91" spans="1:5" ht="13.5">
      <c r="A91" s="95" t="s">
        <v>78</v>
      </c>
      <c r="B91" s="124">
        <v>0</v>
      </c>
      <c r="C91" s="25"/>
      <c r="D91" s="124"/>
      <c r="E91" s="25"/>
    </row>
    <row r="92" spans="1:3" ht="13.5">
      <c r="A92" s="95" t="s">
        <v>176</v>
      </c>
      <c r="B92" s="124">
        <v>0</v>
      </c>
      <c r="C92" s="25"/>
    </row>
    <row r="93" spans="2:3" ht="13.5">
      <c r="B93" s="124"/>
      <c r="C93" s="25"/>
    </row>
    <row r="94" spans="1:5" ht="13.5">
      <c r="A94" s="124" t="s">
        <v>250</v>
      </c>
      <c r="B94" s="82">
        <f>IF($B$55=1,ROUNDDOWN($B$54,0),ROUNDDOWN($B$54*(1+$B$56/100),0))</f>
        <v>0</v>
      </c>
      <c r="C94" s="25"/>
      <c r="E94" s="78"/>
    </row>
    <row r="95" spans="1:5" ht="13.5">
      <c r="A95" s="124" t="s">
        <v>54</v>
      </c>
      <c r="B95" s="82">
        <f>IF($B$55=1,$B$54/(1+$B$56/100),$B$54)+IF($B$55=1,$B$54/(100+$B$56)*100*$B$56/100,$B$54*$B$56/100)-$B$57+$B$58+$B$59+$B$60+$B$61+$B$62</f>
        <v>0</v>
      </c>
      <c r="C95" s="211" t="s">
        <v>317</v>
      </c>
      <c r="D95" s="124"/>
      <c r="E95" s="22"/>
    </row>
    <row r="96" spans="1:21" ht="13.5">
      <c r="A96" s="183" t="s">
        <v>57</v>
      </c>
      <c r="B96" s="16">
        <v>1</v>
      </c>
      <c r="C96" s="16">
        <f aca="true" t="shared" si="2" ref="C96:U96">IF(B96&lt;$B$53,B96+1,"")</f>
        <v>2</v>
      </c>
      <c r="D96" s="16">
        <f t="shared" si="2"/>
        <v>3</v>
      </c>
      <c r="E96" s="16">
        <f t="shared" si="2"/>
        <v>4</v>
      </c>
      <c r="F96" s="16">
        <f t="shared" si="2"/>
        <v>5</v>
      </c>
      <c r="G96" s="16">
        <f t="shared" si="2"/>
        <v>6</v>
      </c>
      <c r="H96" s="16">
        <f t="shared" si="2"/>
        <v>7</v>
      </c>
      <c r="I96" s="16">
        <f t="shared" si="2"/>
        <v>8</v>
      </c>
      <c r="J96" s="16">
        <f t="shared" si="2"/>
        <v>9</v>
      </c>
      <c r="K96" s="16">
        <f t="shared" si="2"/>
        <v>10</v>
      </c>
      <c r="L96" s="16">
        <f t="shared" si="2"/>
        <v>11</v>
      </c>
      <c r="M96" s="16">
        <f t="shared" si="2"/>
        <v>12</v>
      </c>
      <c r="N96" s="16">
        <f t="shared" si="2"/>
        <v>13</v>
      </c>
      <c r="O96" s="16">
        <f t="shared" si="2"/>
        <v>14</v>
      </c>
      <c r="P96" s="16">
        <f t="shared" si="2"/>
        <v>15</v>
      </c>
      <c r="Q96" s="16">
        <f t="shared" si="2"/>
        <v>16</v>
      </c>
      <c r="R96" s="16">
        <f t="shared" si="2"/>
        <v>17</v>
      </c>
      <c r="S96" s="16">
        <f t="shared" si="2"/>
        <v>18</v>
      </c>
      <c r="T96" s="16">
        <f t="shared" si="2"/>
        <v>19</v>
      </c>
      <c r="U96" s="16">
        <f t="shared" si="2"/>
        <v>20</v>
      </c>
    </row>
    <row r="97" spans="1:22" ht="13.5">
      <c r="A97" s="124" t="s">
        <v>256</v>
      </c>
      <c r="B97" s="148">
        <v>0</v>
      </c>
      <c r="C97" s="148">
        <f aca="true" t="shared" si="3" ref="C97:U97">IF(AND(C96&lt;=$B$53,C96&lt;&gt;0),$B25,)</f>
        <v>0</v>
      </c>
      <c r="D97" s="148">
        <f t="shared" si="3"/>
        <v>0</v>
      </c>
      <c r="E97" s="148">
        <f t="shared" si="3"/>
        <v>0</v>
      </c>
      <c r="F97" s="148">
        <f t="shared" si="3"/>
        <v>0</v>
      </c>
      <c r="G97" s="148">
        <f t="shared" si="3"/>
        <v>0</v>
      </c>
      <c r="H97" s="148">
        <f t="shared" si="3"/>
        <v>0</v>
      </c>
      <c r="I97" s="148">
        <f t="shared" si="3"/>
        <v>0</v>
      </c>
      <c r="J97" s="148">
        <f t="shared" si="3"/>
        <v>0</v>
      </c>
      <c r="K97" s="148">
        <f t="shared" si="3"/>
        <v>0</v>
      </c>
      <c r="L97" s="148">
        <f t="shared" si="3"/>
        <v>0</v>
      </c>
      <c r="M97" s="148">
        <f t="shared" si="3"/>
        <v>0</v>
      </c>
      <c r="N97" s="148">
        <f t="shared" si="3"/>
        <v>0</v>
      </c>
      <c r="O97" s="148">
        <f t="shared" si="3"/>
        <v>0</v>
      </c>
      <c r="P97" s="148">
        <f t="shared" si="3"/>
        <v>0</v>
      </c>
      <c r="Q97" s="148">
        <f t="shared" si="3"/>
        <v>0</v>
      </c>
      <c r="R97" s="148">
        <f t="shared" si="3"/>
        <v>0</v>
      </c>
      <c r="S97" s="148">
        <f t="shared" si="3"/>
        <v>0</v>
      </c>
      <c r="T97" s="148">
        <f t="shared" si="3"/>
        <v>0</v>
      </c>
      <c r="U97" s="148">
        <f t="shared" si="3"/>
        <v>0</v>
      </c>
      <c r="V97" s="70"/>
    </row>
    <row r="98" spans="1:21" ht="13.5">
      <c r="A98" s="124" t="s">
        <v>191</v>
      </c>
      <c r="B98" s="82">
        <f>$B$39</f>
        <v>68812.9425847753</v>
      </c>
      <c r="C98" s="142">
        <f aca="true" t="shared" si="4" ref="C98:U98">IF(AND(C96&lt;=$B$53,C96&lt;&gt;0),B$98*(100-C97)/100,)</f>
        <v>68812.9425847753</v>
      </c>
      <c r="D98" s="142">
        <f t="shared" si="4"/>
        <v>68812.9425847753</v>
      </c>
      <c r="E98" s="142">
        <f t="shared" si="4"/>
        <v>68812.9425847753</v>
      </c>
      <c r="F98" s="142">
        <f t="shared" si="4"/>
        <v>68812.9425847753</v>
      </c>
      <c r="G98" s="142">
        <f t="shared" si="4"/>
        <v>68812.9425847753</v>
      </c>
      <c r="H98" s="142">
        <f t="shared" si="4"/>
        <v>68812.9425847753</v>
      </c>
      <c r="I98" s="142">
        <f t="shared" si="4"/>
        <v>68812.9425847753</v>
      </c>
      <c r="J98" s="142">
        <f t="shared" si="4"/>
        <v>68812.9425847753</v>
      </c>
      <c r="K98" s="142">
        <f t="shared" si="4"/>
        <v>68812.9425847753</v>
      </c>
      <c r="L98" s="142">
        <f t="shared" si="4"/>
        <v>68812.9425847753</v>
      </c>
      <c r="M98" s="142">
        <f t="shared" si="4"/>
        <v>68812.9425847753</v>
      </c>
      <c r="N98" s="142">
        <f t="shared" si="4"/>
        <v>68812.9425847753</v>
      </c>
      <c r="O98" s="142">
        <f t="shared" si="4"/>
        <v>68812.9425847753</v>
      </c>
      <c r="P98" s="142">
        <f t="shared" si="4"/>
        <v>68812.9425847753</v>
      </c>
      <c r="Q98" s="142">
        <f t="shared" si="4"/>
        <v>68812.9425847753</v>
      </c>
      <c r="R98" s="142">
        <f t="shared" si="4"/>
        <v>68812.9425847753</v>
      </c>
      <c r="S98" s="142">
        <f t="shared" si="4"/>
        <v>68812.9425847753</v>
      </c>
      <c r="T98" s="142">
        <f t="shared" si="4"/>
        <v>68812.9425847753</v>
      </c>
      <c r="U98" s="142">
        <f t="shared" si="4"/>
        <v>68812.9425847753</v>
      </c>
    </row>
    <row r="99" spans="1:21" ht="13.5">
      <c r="A99" s="183" t="s">
        <v>216</v>
      </c>
      <c r="B99" s="82">
        <f>B98</f>
        <v>68812.9425847753</v>
      </c>
      <c r="C99" s="82">
        <f aca="true" t="shared" si="5" ref="C99:U99">IF(AND(C96&lt;=$B$53,C96&lt;&gt;0),B99+C98,)</f>
        <v>137625.8851695506</v>
      </c>
      <c r="D99" s="82">
        <f t="shared" si="5"/>
        <v>206438.8277543259</v>
      </c>
      <c r="E99" s="82">
        <f t="shared" si="5"/>
        <v>275251.7703391012</v>
      </c>
      <c r="F99" s="82">
        <f t="shared" si="5"/>
        <v>344064.7129238765</v>
      </c>
      <c r="G99" s="82">
        <f t="shared" si="5"/>
        <v>412877.65550865175</v>
      </c>
      <c r="H99" s="82">
        <f t="shared" si="5"/>
        <v>481690.598093427</v>
      </c>
      <c r="I99" s="82">
        <f t="shared" si="5"/>
        <v>550503.5406782023</v>
      </c>
      <c r="J99" s="82">
        <f t="shared" si="5"/>
        <v>619316.4832629776</v>
      </c>
      <c r="K99" s="82">
        <f t="shared" si="5"/>
        <v>688129.4258477528</v>
      </c>
      <c r="L99" s="82">
        <f t="shared" si="5"/>
        <v>756942.3684325281</v>
      </c>
      <c r="M99" s="82">
        <f t="shared" si="5"/>
        <v>825755.3110173034</v>
      </c>
      <c r="N99" s="82">
        <f t="shared" si="5"/>
        <v>894568.2536020787</v>
      </c>
      <c r="O99" s="82">
        <f t="shared" si="5"/>
        <v>963381.1961868539</v>
      </c>
      <c r="P99" s="82">
        <f t="shared" si="5"/>
        <v>1032194.1387716292</v>
      </c>
      <c r="Q99" s="82">
        <f t="shared" si="5"/>
        <v>1101007.0813564046</v>
      </c>
      <c r="R99" s="82">
        <f t="shared" si="5"/>
        <v>1169820.02394118</v>
      </c>
      <c r="S99" s="82">
        <f t="shared" si="5"/>
        <v>1238632.9665259554</v>
      </c>
      <c r="T99" s="82">
        <f t="shared" si="5"/>
        <v>1307445.9091107307</v>
      </c>
      <c r="U99" s="82">
        <f t="shared" si="5"/>
        <v>1376258.8516955061</v>
      </c>
    </row>
    <row r="100" spans="1:21" ht="13.5">
      <c r="A100" s="183" t="s">
        <v>310</v>
      </c>
      <c r="B100" s="82">
        <f>SUM(B98:U98)</f>
        <v>1376258.8516955061</v>
      </c>
      <c r="C100" s="117"/>
      <c r="D100" s="117"/>
      <c r="E100" s="117"/>
      <c r="F100" s="117"/>
      <c r="G100" s="117"/>
      <c r="H100" s="117"/>
      <c r="I100" s="117"/>
      <c r="J100" s="117"/>
      <c r="K100" s="117"/>
      <c r="L100" s="117"/>
      <c r="M100" s="117"/>
      <c r="N100" s="117"/>
      <c r="O100" s="117"/>
      <c r="P100" s="117"/>
      <c r="Q100" s="117"/>
      <c r="R100" s="117"/>
      <c r="S100" s="117"/>
      <c r="T100" s="117"/>
      <c r="U100" s="117"/>
    </row>
    <row r="101" spans="1:21" ht="13.5">
      <c r="A101" s="183" t="s">
        <v>230</v>
      </c>
      <c r="B101" s="82">
        <f>B100*0.3145</f>
        <v>432833.4088582367</v>
      </c>
      <c r="C101" s="117"/>
      <c r="D101" s="117"/>
      <c r="E101" s="117"/>
      <c r="F101" s="117"/>
      <c r="G101" s="117"/>
      <c r="H101" s="117"/>
      <c r="I101" s="117"/>
      <c r="J101" s="117"/>
      <c r="K101" s="117"/>
      <c r="L101" s="117"/>
      <c r="M101" s="117"/>
      <c r="N101" s="117"/>
      <c r="O101" s="117"/>
      <c r="P101" s="117"/>
      <c r="Q101" s="117"/>
      <c r="R101" s="117"/>
      <c r="S101" s="117"/>
      <c r="T101" s="117"/>
      <c r="U101" s="117"/>
    </row>
    <row r="102" spans="1:21" ht="13.5">
      <c r="A102" s="183" t="s">
        <v>245</v>
      </c>
      <c r="B102" s="82">
        <f>SUM(B104:U104)</f>
        <v>83263520</v>
      </c>
      <c r="C102" s="117"/>
      <c r="D102" s="117"/>
      <c r="E102" s="117"/>
      <c r="F102" s="117"/>
      <c r="G102" s="117"/>
      <c r="H102" s="117"/>
      <c r="I102" s="117"/>
      <c r="J102" s="117"/>
      <c r="K102" s="117"/>
      <c r="L102" s="117"/>
      <c r="M102" s="117"/>
      <c r="N102" s="117"/>
      <c r="O102" s="117"/>
      <c r="P102" s="117"/>
      <c r="Q102" s="117"/>
      <c r="R102" s="117"/>
      <c r="S102" s="117"/>
      <c r="T102" s="117"/>
      <c r="U102" s="117"/>
    </row>
    <row r="103" spans="1:23" ht="13.5">
      <c r="A103" s="183" t="s">
        <v>286</v>
      </c>
      <c r="B103" s="16">
        <v>1</v>
      </c>
      <c r="C103" s="16">
        <f aca="true" t="shared" si="6" ref="C103:U103">IF(B103&lt;$B$53,B103+1,"")</f>
        <v>2</v>
      </c>
      <c r="D103" s="16">
        <f t="shared" si="6"/>
        <v>3</v>
      </c>
      <c r="E103" s="16">
        <f t="shared" si="6"/>
        <v>4</v>
      </c>
      <c r="F103" s="16">
        <f t="shared" si="6"/>
        <v>5</v>
      </c>
      <c r="G103" s="16">
        <f t="shared" si="6"/>
        <v>6</v>
      </c>
      <c r="H103" s="16">
        <f t="shared" si="6"/>
        <v>7</v>
      </c>
      <c r="I103" s="16">
        <f t="shared" si="6"/>
        <v>8</v>
      </c>
      <c r="J103" s="16">
        <f t="shared" si="6"/>
        <v>9</v>
      </c>
      <c r="K103" s="16">
        <f t="shared" si="6"/>
        <v>10</v>
      </c>
      <c r="L103" s="16">
        <f t="shared" si="6"/>
        <v>11</v>
      </c>
      <c r="M103" s="16">
        <f t="shared" si="6"/>
        <v>12</v>
      </c>
      <c r="N103" s="16">
        <f t="shared" si="6"/>
        <v>13</v>
      </c>
      <c r="O103" s="16">
        <f t="shared" si="6"/>
        <v>14</v>
      </c>
      <c r="P103" s="16">
        <f t="shared" si="6"/>
        <v>15</v>
      </c>
      <c r="Q103" s="16">
        <f t="shared" si="6"/>
        <v>16</v>
      </c>
      <c r="R103" s="16">
        <f t="shared" si="6"/>
        <v>17</v>
      </c>
      <c r="S103" s="16">
        <f t="shared" si="6"/>
        <v>18</v>
      </c>
      <c r="T103" s="16">
        <f t="shared" si="6"/>
        <v>19</v>
      </c>
      <c r="U103" s="16">
        <f t="shared" si="6"/>
        <v>20</v>
      </c>
      <c r="V103" s="113"/>
      <c r="W103" s="149"/>
    </row>
    <row r="104" spans="1:21" ht="13.5">
      <c r="A104" s="124" t="s">
        <v>140</v>
      </c>
      <c r="B104" s="82">
        <f>'消費税対応シート'!N57</f>
        <v>4163176</v>
      </c>
      <c r="C104" s="82">
        <f>IF(AND(C103&lt;=$B$53,C103&lt;&gt;0),'消費税対応シート'!N58,)</f>
        <v>4163176</v>
      </c>
      <c r="D104" s="142">
        <f>IF(AND(D103&lt;=$B$53,D103&lt;&gt;0),'消費税対応シート'!N59,)</f>
        <v>4163176</v>
      </c>
      <c r="E104" s="142">
        <f>IF(AND(E103&lt;=$B$53,E103&lt;&gt;0),'消費税対応シート'!N60,)</f>
        <v>4163176</v>
      </c>
      <c r="F104" s="142">
        <f>IF(AND(F103&lt;=$B$53,F103&lt;&gt;0),'消費税対応シート'!N61,)</f>
        <v>4163176</v>
      </c>
      <c r="G104" s="142">
        <f>IF(AND(G103&lt;=$B$53,G103&lt;&gt;0),'消費税対応シート'!N62,)</f>
        <v>4163176</v>
      </c>
      <c r="H104" s="142">
        <f>IF(AND(H103&lt;=$B$53,H103&lt;&gt;0),'消費税対応シート'!N63,)</f>
        <v>4163176</v>
      </c>
      <c r="I104" s="142">
        <f>IF(AND(I103&lt;=$B$53,I103&lt;&gt;0),'消費税対応シート'!N64,)</f>
        <v>4163176</v>
      </c>
      <c r="J104" s="142">
        <f>IF(AND(J103&lt;=$B$53,J103&lt;&gt;0),'消費税対応シート'!N65,)</f>
        <v>4163176</v>
      </c>
      <c r="K104" s="142">
        <f>IF(AND(K103&lt;=$B$53,K103&lt;&gt;0),'消費税対応シート'!N66,)</f>
        <v>4163176</v>
      </c>
      <c r="L104" s="142">
        <f>IF(AND(L103&lt;=$B$53,L103&lt;&gt;0),'消費税対応シート'!N67,)</f>
        <v>4163176</v>
      </c>
      <c r="M104" s="142">
        <f>IF(AND(M103&lt;=$B$53,M103&lt;&gt;0),'消費税対応シート'!N68,)</f>
        <v>4163176</v>
      </c>
      <c r="N104" s="142">
        <f>IF(AND(N103&lt;=$B$53,N103&lt;&gt;0),'消費税対応シート'!N69,)</f>
        <v>4163176</v>
      </c>
      <c r="O104" s="142">
        <f>IF(AND(O103&lt;=$B$53,O103&lt;&gt;0),'消費税対応シート'!N70,)</f>
        <v>4163176</v>
      </c>
      <c r="P104" s="142">
        <f>IF(AND(P103&lt;=$B$53,P103&lt;&gt;0),'消費税対応シート'!N71,)</f>
        <v>4163176</v>
      </c>
      <c r="Q104" s="142">
        <f>IF(AND(Q103&lt;=$B$53,Q103&lt;&gt;0),'消費税対応シート'!N72,)</f>
        <v>4163176</v>
      </c>
      <c r="R104" s="142">
        <f>IF(AND(R103&lt;=$B$53,R103&lt;&gt;0),'消費税対応シート'!N73,)</f>
        <v>4163176</v>
      </c>
      <c r="S104" s="142">
        <f>IF(AND(S103&lt;=$B$53,S103&lt;&gt;0),'消費税対応シート'!N74,)</f>
        <v>4163176</v>
      </c>
      <c r="T104" s="142">
        <f>IF(AND(T103&lt;=$B$53,T103&lt;&gt;0),'消費税対応シート'!N75,)</f>
        <v>4163176</v>
      </c>
      <c r="U104" s="142">
        <f>IF(AND(U103&lt;=$B$53,U103&lt;&gt;0),'消費税対応シート'!N76,)</f>
        <v>4163176</v>
      </c>
    </row>
    <row r="105" spans="1:23" ht="13.5">
      <c r="A105" s="124" t="s">
        <v>192</v>
      </c>
      <c r="B105" s="82">
        <f>B104</f>
        <v>4163176</v>
      </c>
      <c r="C105" s="82">
        <f aca="true" t="shared" si="7" ref="C105:U105">IF(AND(C103&lt;=$B$53,C103&lt;&gt;0),B105+C104,)</f>
        <v>8326352</v>
      </c>
      <c r="D105" s="82">
        <f t="shared" si="7"/>
        <v>12489528</v>
      </c>
      <c r="E105" s="82">
        <f t="shared" si="7"/>
        <v>16652704</v>
      </c>
      <c r="F105" s="82">
        <f t="shared" si="7"/>
        <v>20815880</v>
      </c>
      <c r="G105" s="82">
        <f t="shared" si="7"/>
        <v>24979056</v>
      </c>
      <c r="H105" s="82">
        <f t="shared" si="7"/>
        <v>29142232</v>
      </c>
      <c r="I105" s="82">
        <f t="shared" si="7"/>
        <v>33305408</v>
      </c>
      <c r="J105" s="82">
        <f t="shared" si="7"/>
        <v>37468584</v>
      </c>
      <c r="K105" s="82">
        <f t="shared" si="7"/>
        <v>41631760</v>
      </c>
      <c r="L105" s="82">
        <f t="shared" si="7"/>
        <v>45794936</v>
      </c>
      <c r="M105" s="82">
        <f t="shared" si="7"/>
        <v>49958112</v>
      </c>
      <c r="N105" s="82">
        <f t="shared" si="7"/>
        <v>54121288</v>
      </c>
      <c r="O105" s="82">
        <f t="shared" si="7"/>
        <v>58284464</v>
      </c>
      <c r="P105" s="82">
        <f t="shared" si="7"/>
        <v>62447640</v>
      </c>
      <c r="Q105" s="82">
        <f t="shared" si="7"/>
        <v>66610816</v>
      </c>
      <c r="R105" s="82">
        <f t="shared" si="7"/>
        <v>70773992</v>
      </c>
      <c r="S105" s="82">
        <f t="shared" si="7"/>
        <v>74937168</v>
      </c>
      <c r="T105" s="82">
        <f t="shared" si="7"/>
        <v>79100344</v>
      </c>
      <c r="U105" s="82">
        <f t="shared" si="7"/>
        <v>83263520</v>
      </c>
      <c r="V105" s="172"/>
      <c r="W105" s="8"/>
    </row>
    <row r="106" spans="1:28" ht="13.5">
      <c r="A106" s="124" t="s">
        <v>304</v>
      </c>
      <c r="B106" s="16">
        <v>1</v>
      </c>
      <c r="C106" s="16">
        <f aca="true" t="shared" si="8" ref="C106:U106">IF(B106&lt;$B$53,B106+1,"")</f>
        <v>2</v>
      </c>
      <c r="D106" s="16">
        <f t="shared" si="8"/>
        <v>3</v>
      </c>
      <c r="E106" s="16">
        <f t="shared" si="8"/>
        <v>4</v>
      </c>
      <c r="F106" s="16">
        <f t="shared" si="8"/>
        <v>5</v>
      </c>
      <c r="G106" s="16">
        <f t="shared" si="8"/>
        <v>6</v>
      </c>
      <c r="H106" s="16">
        <f t="shared" si="8"/>
        <v>7</v>
      </c>
      <c r="I106" s="16">
        <f t="shared" si="8"/>
        <v>8</v>
      </c>
      <c r="J106" s="16">
        <f t="shared" si="8"/>
        <v>9</v>
      </c>
      <c r="K106" s="16">
        <f t="shared" si="8"/>
        <v>10</v>
      </c>
      <c r="L106" s="16">
        <f t="shared" si="8"/>
        <v>11</v>
      </c>
      <c r="M106" s="16">
        <f t="shared" si="8"/>
        <v>12</v>
      </c>
      <c r="N106" s="16">
        <f t="shared" si="8"/>
        <v>13</v>
      </c>
      <c r="O106" s="16">
        <f t="shared" si="8"/>
        <v>14</v>
      </c>
      <c r="P106" s="16">
        <f t="shared" si="8"/>
        <v>15</v>
      </c>
      <c r="Q106" s="16">
        <f t="shared" si="8"/>
        <v>16</v>
      </c>
      <c r="R106" s="16">
        <f t="shared" si="8"/>
        <v>17</v>
      </c>
      <c r="S106" s="16">
        <f t="shared" si="8"/>
        <v>18</v>
      </c>
      <c r="T106" s="16">
        <f t="shared" si="8"/>
        <v>19</v>
      </c>
      <c r="U106" s="16">
        <f t="shared" si="8"/>
        <v>20</v>
      </c>
      <c r="V106" s="90"/>
      <c r="W106" s="90"/>
      <c r="X106" s="90"/>
      <c r="Y106" s="90"/>
      <c r="Z106" s="90"/>
      <c r="AA106" s="90"/>
      <c r="AB106" s="90"/>
    </row>
    <row r="107" spans="1:28" ht="13.5">
      <c r="A107" s="124" t="s">
        <v>142</v>
      </c>
      <c r="B107" s="142">
        <f>B104</f>
        <v>4163176</v>
      </c>
      <c r="C107" s="142">
        <f aca="true" t="shared" si="9" ref="C107:U107">IF(AND(C106&lt;=$B$53,C106&lt;&gt;0),C104,)</f>
        <v>4163176</v>
      </c>
      <c r="D107" s="142">
        <f t="shared" si="9"/>
        <v>4163176</v>
      </c>
      <c r="E107" s="142">
        <f t="shared" si="9"/>
        <v>4163176</v>
      </c>
      <c r="F107" s="142">
        <f t="shared" si="9"/>
        <v>4163176</v>
      </c>
      <c r="G107" s="142">
        <f t="shared" si="9"/>
        <v>4163176</v>
      </c>
      <c r="H107" s="142">
        <f t="shared" si="9"/>
        <v>4163176</v>
      </c>
      <c r="I107" s="142">
        <f t="shared" si="9"/>
        <v>4163176</v>
      </c>
      <c r="J107" s="142">
        <f t="shared" si="9"/>
        <v>4163176</v>
      </c>
      <c r="K107" s="142">
        <f t="shared" si="9"/>
        <v>4163176</v>
      </c>
      <c r="L107" s="142">
        <f t="shared" si="9"/>
        <v>4163176</v>
      </c>
      <c r="M107" s="142">
        <f t="shared" si="9"/>
        <v>4163176</v>
      </c>
      <c r="N107" s="142">
        <f t="shared" si="9"/>
        <v>4163176</v>
      </c>
      <c r="O107" s="142">
        <f t="shared" si="9"/>
        <v>4163176</v>
      </c>
      <c r="P107" s="142">
        <f t="shared" si="9"/>
        <v>4163176</v>
      </c>
      <c r="Q107" s="142">
        <f t="shared" si="9"/>
        <v>4163176</v>
      </c>
      <c r="R107" s="142">
        <f t="shared" si="9"/>
        <v>4163176</v>
      </c>
      <c r="S107" s="142">
        <f t="shared" si="9"/>
        <v>4163176</v>
      </c>
      <c r="T107" s="142">
        <f t="shared" si="9"/>
        <v>4163176</v>
      </c>
      <c r="U107" s="142">
        <f t="shared" si="9"/>
        <v>4163176</v>
      </c>
      <c r="V107" s="90"/>
      <c r="W107" s="21"/>
      <c r="X107" s="90"/>
      <c r="Y107" s="90"/>
      <c r="Z107" s="90"/>
      <c r="AA107" s="90"/>
      <c r="AB107" s="90"/>
    </row>
    <row r="108" spans="1:28" ht="29.25" customHeight="1">
      <c r="A108" s="13" t="s">
        <v>44</v>
      </c>
      <c r="B108" s="82">
        <f>B$132</f>
        <v>47950</v>
      </c>
      <c r="C108" s="82">
        <f aca="true" t="shared" si="10" ref="C108:U108">IF(C106=$B$53,B$109+C$109+C$132,IF(AND(C106&lt;=$B$53,C106&lt;&gt;0),B$109+C$132,))</f>
        <v>426414</v>
      </c>
      <c r="D108" s="82">
        <f t="shared" si="10"/>
        <v>426414</v>
      </c>
      <c r="E108" s="82">
        <f t="shared" si="10"/>
        <v>426414</v>
      </c>
      <c r="F108" s="82">
        <f t="shared" si="10"/>
        <v>426414</v>
      </c>
      <c r="G108" s="82">
        <f t="shared" si="10"/>
        <v>426414</v>
      </c>
      <c r="H108" s="82">
        <f t="shared" si="10"/>
        <v>426414</v>
      </c>
      <c r="I108" s="82">
        <f t="shared" si="10"/>
        <v>426414</v>
      </c>
      <c r="J108" s="82">
        <f t="shared" si="10"/>
        <v>426414</v>
      </c>
      <c r="K108" s="82">
        <f t="shared" si="10"/>
        <v>426414</v>
      </c>
      <c r="L108" s="82">
        <f t="shared" si="10"/>
        <v>426414</v>
      </c>
      <c r="M108" s="82">
        <f t="shared" si="10"/>
        <v>426414</v>
      </c>
      <c r="N108" s="82">
        <f t="shared" si="10"/>
        <v>426414</v>
      </c>
      <c r="O108" s="82">
        <f t="shared" si="10"/>
        <v>426414</v>
      </c>
      <c r="P108" s="82">
        <f t="shared" si="10"/>
        <v>426414</v>
      </c>
      <c r="Q108" s="82">
        <f t="shared" si="10"/>
        <v>426414</v>
      </c>
      <c r="R108" s="82">
        <f t="shared" si="10"/>
        <v>426414</v>
      </c>
      <c r="S108" s="82">
        <f t="shared" si="10"/>
        <v>426414</v>
      </c>
      <c r="T108" s="82">
        <f t="shared" si="10"/>
        <v>426414</v>
      </c>
      <c r="U108" s="82">
        <f t="shared" si="10"/>
        <v>804878</v>
      </c>
      <c r="V108" s="90"/>
      <c r="W108" s="21"/>
      <c r="X108" s="21"/>
      <c r="Y108" s="212"/>
      <c r="Z108" s="90"/>
      <c r="AA108" s="90"/>
      <c r="AB108" s="90"/>
    </row>
    <row r="109" spans="1:28" ht="13.5">
      <c r="A109" s="124" t="s">
        <v>264</v>
      </c>
      <c r="B109" s="82">
        <f>'消費税対応シート'!N79</f>
        <v>378464</v>
      </c>
      <c r="C109" s="142">
        <f>IF(AND(C106&lt;=$B$53,C106&lt;&gt;0),'消費税対応シート'!N80,)</f>
        <v>378464</v>
      </c>
      <c r="D109" s="142">
        <f>IF(AND(D106&lt;=$B$53,D106&lt;&gt;0),'消費税対応シート'!N81,)</f>
        <v>378464</v>
      </c>
      <c r="E109" s="142">
        <f>IF(AND(E106&lt;=$B$53,E106&lt;&gt;0),'消費税対応シート'!N82,)</f>
        <v>378464</v>
      </c>
      <c r="F109" s="142">
        <f>IF(AND(F106&lt;=$B$53,F106&lt;&gt;0),'消費税対応シート'!N83,)</f>
        <v>378464</v>
      </c>
      <c r="G109" s="142">
        <f>IF(AND(G106&lt;=$B$53,G106&lt;&gt;0),'消費税対応シート'!N84,)</f>
        <v>378464</v>
      </c>
      <c r="H109" s="142">
        <f>IF(AND(H106&lt;=$B$53,H106&lt;&gt;0),'消費税対応シート'!N85,)</f>
        <v>378464</v>
      </c>
      <c r="I109" s="142">
        <f>IF(AND(I106&lt;=$B$53,I106&lt;&gt;0),'消費税対応シート'!N86,)</f>
        <v>378464</v>
      </c>
      <c r="J109" s="142">
        <f>IF(AND(J106&lt;=$B$53,J106&lt;&gt;0),'消費税対応シート'!N87,)</f>
        <v>378464</v>
      </c>
      <c r="K109" s="142">
        <f>IF(AND(K106&lt;=$B$53,K106&lt;&gt;0),'消費税対応シート'!N88,)</f>
        <v>378464</v>
      </c>
      <c r="L109" s="142">
        <f>IF(AND(L106&lt;=$B$53,L106&lt;&gt;0),'消費税対応シート'!N89,)</f>
        <v>378464</v>
      </c>
      <c r="M109" s="142">
        <f>IF(AND(M106&lt;=$B$53,M106&lt;&gt;0),'消費税対応シート'!N90,)</f>
        <v>378464</v>
      </c>
      <c r="N109" s="142">
        <f>IF(AND(N106&lt;=$B$53,N106&lt;&gt;0),'消費税対応シート'!N91,)</f>
        <v>378464</v>
      </c>
      <c r="O109" s="142">
        <f>IF(AND(O106&lt;=$B$53,O106&lt;&gt;0),'消費税対応シート'!N92,)</f>
        <v>378464</v>
      </c>
      <c r="P109" s="142">
        <f>IF(AND(P106&lt;=$B$53,P106&lt;&gt;0),'消費税対応シート'!N93,)</f>
        <v>378464</v>
      </c>
      <c r="Q109" s="142">
        <f>IF(AND(Q106&lt;=$B$53,Q106&lt;&gt;0),'消費税対応シート'!N94,)</f>
        <v>378464</v>
      </c>
      <c r="R109" s="142">
        <f>IF(AND(R106&lt;=$B$53,R106&lt;&gt;0),'消費税対応シート'!N95,)</f>
        <v>378464</v>
      </c>
      <c r="S109" s="142">
        <f>IF(AND(S106&lt;=$B$53,S106&lt;&gt;0),'消費税対応シート'!N96,)</f>
        <v>378464</v>
      </c>
      <c r="T109" s="142">
        <f>IF(AND(T106&lt;=$B$53,T106&lt;&gt;0),'消費税対応シート'!N97,)</f>
        <v>378464</v>
      </c>
      <c r="U109" s="142">
        <f>IF(AND(U106&lt;=$B$53,U106&lt;&gt;0),'消費税対応シート'!N98,)</f>
        <v>378464</v>
      </c>
      <c r="V109" s="90"/>
      <c r="W109" s="90"/>
      <c r="X109" s="21"/>
      <c r="Y109" s="212"/>
      <c r="Z109" s="90"/>
      <c r="AA109" s="90"/>
      <c r="AB109" s="90"/>
    </row>
    <row r="110" spans="1:28" ht="13.5">
      <c r="A110" s="124" t="s">
        <v>212</v>
      </c>
      <c r="B110" s="98">
        <f>B107-B108</f>
        <v>4115226</v>
      </c>
      <c r="C110" s="98">
        <f aca="true" t="shared" si="11" ref="C110:U110">IF(AND(C106&lt;=$B$53,C106&lt;&gt;0),B110+(C107-C108),)</f>
        <v>7851988</v>
      </c>
      <c r="D110" s="98">
        <f t="shared" si="11"/>
        <v>11588750</v>
      </c>
      <c r="E110" s="98">
        <f t="shared" si="11"/>
        <v>15325512</v>
      </c>
      <c r="F110" s="98">
        <f t="shared" si="11"/>
        <v>19062274</v>
      </c>
      <c r="G110" s="98">
        <f t="shared" si="11"/>
        <v>22799036</v>
      </c>
      <c r="H110" s="98">
        <f t="shared" si="11"/>
        <v>26535798</v>
      </c>
      <c r="I110" s="98">
        <f t="shared" si="11"/>
        <v>30272560</v>
      </c>
      <c r="J110" s="98">
        <f t="shared" si="11"/>
        <v>34009322</v>
      </c>
      <c r="K110" s="98">
        <f t="shared" si="11"/>
        <v>37746084</v>
      </c>
      <c r="L110" s="98">
        <f t="shared" si="11"/>
        <v>41482846</v>
      </c>
      <c r="M110" s="98">
        <f t="shared" si="11"/>
        <v>45219608</v>
      </c>
      <c r="N110" s="98">
        <f t="shared" si="11"/>
        <v>48956370</v>
      </c>
      <c r="O110" s="98">
        <f t="shared" si="11"/>
        <v>52693132</v>
      </c>
      <c r="P110" s="98">
        <f t="shared" si="11"/>
        <v>56429894</v>
      </c>
      <c r="Q110" s="98">
        <f t="shared" si="11"/>
        <v>60166656</v>
      </c>
      <c r="R110" s="98">
        <f t="shared" si="11"/>
        <v>63903418</v>
      </c>
      <c r="S110" s="98">
        <f t="shared" si="11"/>
        <v>67640180</v>
      </c>
      <c r="T110" s="98">
        <f t="shared" si="11"/>
        <v>71376942</v>
      </c>
      <c r="U110" s="98">
        <f t="shared" si="11"/>
        <v>74735240</v>
      </c>
      <c r="V110" s="90"/>
      <c r="W110" s="90"/>
      <c r="X110" s="90"/>
      <c r="Y110" s="90"/>
      <c r="Z110" s="90"/>
      <c r="AA110" s="90"/>
      <c r="AB110" s="90"/>
    </row>
    <row r="111" spans="2:28" s="124" customFormat="1" ht="13.5">
      <c r="B111" s="128"/>
      <c r="C111" s="128"/>
      <c r="D111" s="128"/>
      <c r="E111" s="128"/>
      <c r="F111" s="128"/>
      <c r="G111" s="128"/>
      <c r="H111" s="128"/>
      <c r="I111" s="128"/>
      <c r="J111" s="128"/>
      <c r="K111" s="128"/>
      <c r="L111" s="128"/>
      <c r="M111" s="128"/>
      <c r="N111" s="128"/>
      <c r="O111" s="128"/>
      <c r="P111" s="128"/>
      <c r="Q111" s="128"/>
      <c r="R111" s="128"/>
      <c r="S111" s="128"/>
      <c r="T111" s="128"/>
      <c r="U111" s="128"/>
      <c r="V111" s="90"/>
      <c r="W111" s="90"/>
      <c r="X111" s="90"/>
      <c r="Y111" s="90"/>
      <c r="Z111" s="90"/>
      <c r="AA111" s="90"/>
      <c r="AB111" s="90"/>
    </row>
    <row r="112" spans="1:28" ht="13.5">
      <c r="A112" s="22" t="s">
        <v>105</v>
      </c>
      <c r="B112" s="82">
        <f aca="true" t="shared" si="12" ref="B112:U112">IF(AND(B$106&lt;=$B$53,B$106&lt;&gt;0),$B$63,)</f>
        <v>0</v>
      </c>
      <c r="C112" s="82">
        <f t="shared" si="12"/>
        <v>0</v>
      </c>
      <c r="D112" s="82">
        <f t="shared" si="12"/>
        <v>0</v>
      </c>
      <c r="E112" s="82">
        <f t="shared" si="12"/>
        <v>0</v>
      </c>
      <c r="F112" s="82">
        <f t="shared" si="12"/>
        <v>0</v>
      </c>
      <c r="G112" s="82">
        <f t="shared" si="12"/>
        <v>0</v>
      </c>
      <c r="H112" s="82">
        <f t="shared" si="12"/>
        <v>0</v>
      </c>
      <c r="I112" s="82">
        <f t="shared" si="12"/>
        <v>0</v>
      </c>
      <c r="J112" s="82">
        <f t="shared" si="12"/>
        <v>0</v>
      </c>
      <c r="K112" s="82">
        <f t="shared" si="12"/>
        <v>0</v>
      </c>
      <c r="L112" s="82">
        <f t="shared" si="12"/>
        <v>0</v>
      </c>
      <c r="M112" s="82">
        <f t="shared" si="12"/>
        <v>0</v>
      </c>
      <c r="N112" s="82">
        <f t="shared" si="12"/>
        <v>0</v>
      </c>
      <c r="O112" s="82">
        <f t="shared" si="12"/>
        <v>0</v>
      </c>
      <c r="P112" s="82">
        <f t="shared" si="12"/>
        <v>0</v>
      </c>
      <c r="Q112" s="82">
        <f t="shared" si="12"/>
        <v>0</v>
      </c>
      <c r="R112" s="82">
        <f t="shared" si="12"/>
        <v>0</v>
      </c>
      <c r="S112" s="82">
        <f t="shared" si="12"/>
        <v>0</v>
      </c>
      <c r="T112" s="82">
        <f t="shared" si="12"/>
        <v>0</v>
      </c>
      <c r="U112" s="82">
        <f t="shared" si="12"/>
        <v>0</v>
      </c>
      <c r="V112" s="90"/>
      <c r="W112" s="90"/>
      <c r="X112" s="90"/>
      <c r="Y112" s="90"/>
      <c r="Z112" s="90"/>
      <c r="AA112" s="90"/>
      <c r="AB112" s="90"/>
    </row>
    <row r="113" spans="1:28" ht="13.5">
      <c r="A113" s="22" t="s">
        <v>215</v>
      </c>
      <c r="B113" s="82">
        <f aca="true" t="shared" si="13" ref="B113:U113">IF(AND(B$106&lt;=$B$53,B$106&lt;&gt;0),$B$64,)</f>
        <v>0</v>
      </c>
      <c r="C113" s="82">
        <f t="shared" si="13"/>
        <v>0</v>
      </c>
      <c r="D113" s="82">
        <f t="shared" si="13"/>
        <v>0</v>
      </c>
      <c r="E113" s="82">
        <f t="shared" si="13"/>
        <v>0</v>
      </c>
      <c r="F113" s="82">
        <f t="shared" si="13"/>
        <v>0</v>
      </c>
      <c r="G113" s="82">
        <f t="shared" si="13"/>
        <v>0</v>
      </c>
      <c r="H113" s="82">
        <f t="shared" si="13"/>
        <v>0</v>
      </c>
      <c r="I113" s="82">
        <f t="shared" si="13"/>
        <v>0</v>
      </c>
      <c r="J113" s="82">
        <f t="shared" si="13"/>
        <v>0</v>
      </c>
      <c r="K113" s="82">
        <f t="shared" si="13"/>
        <v>0</v>
      </c>
      <c r="L113" s="82">
        <f t="shared" si="13"/>
        <v>0</v>
      </c>
      <c r="M113" s="82">
        <f t="shared" si="13"/>
        <v>0</v>
      </c>
      <c r="N113" s="82">
        <f t="shared" si="13"/>
        <v>0</v>
      </c>
      <c r="O113" s="82">
        <f t="shared" si="13"/>
        <v>0</v>
      </c>
      <c r="P113" s="82">
        <f t="shared" si="13"/>
        <v>0</v>
      </c>
      <c r="Q113" s="82">
        <f t="shared" si="13"/>
        <v>0</v>
      </c>
      <c r="R113" s="82">
        <f t="shared" si="13"/>
        <v>0</v>
      </c>
      <c r="S113" s="82">
        <f t="shared" si="13"/>
        <v>0</v>
      </c>
      <c r="T113" s="82">
        <f t="shared" si="13"/>
        <v>0</v>
      </c>
      <c r="U113" s="82">
        <f t="shared" si="13"/>
        <v>0</v>
      </c>
      <c r="V113" s="90"/>
      <c r="W113" s="90"/>
      <c r="X113" s="90"/>
      <c r="Y113" s="90"/>
      <c r="Z113" s="90"/>
      <c r="AA113" s="90"/>
      <c r="AB113" s="90"/>
    </row>
    <row r="114" spans="1:28" ht="13.5">
      <c r="A114" s="124" t="s">
        <v>6</v>
      </c>
      <c r="B114" s="82">
        <f aca="true" t="shared" si="14" ref="B114:U114">IF(AND(B$106&lt;=$B$53,B$106&lt;&gt;0),$B$65,)</f>
        <v>0</v>
      </c>
      <c r="C114" s="82">
        <f t="shared" si="14"/>
        <v>0</v>
      </c>
      <c r="D114" s="82">
        <f t="shared" si="14"/>
        <v>0</v>
      </c>
      <c r="E114" s="82">
        <f t="shared" si="14"/>
        <v>0</v>
      </c>
      <c r="F114" s="82">
        <f t="shared" si="14"/>
        <v>0</v>
      </c>
      <c r="G114" s="82">
        <f t="shared" si="14"/>
        <v>0</v>
      </c>
      <c r="H114" s="82">
        <f t="shared" si="14"/>
        <v>0</v>
      </c>
      <c r="I114" s="82">
        <f t="shared" si="14"/>
        <v>0</v>
      </c>
      <c r="J114" s="82">
        <f t="shared" si="14"/>
        <v>0</v>
      </c>
      <c r="K114" s="82">
        <f t="shared" si="14"/>
        <v>0</v>
      </c>
      <c r="L114" s="82">
        <f t="shared" si="14"/>
        <v>0</v>
      </c>
      <c r="M114" s="82">
        <f t="shared" si="14"/>
        <v>0</v>
      </c>
      <c r="N114" s="82">
        <f t="shared" si="14"/>
        <v>0</v>
      </c>
      <c r="O114" s="82">
        <f t="shared" si="14"/>
        <v>0</v>
      </c>
      <c r="P114" s="82">
        <f t="shared" si="14"/>
        <v>0</v>
      </c>
      <c r="Q114" s="82">
        <f t="shared" si="14"/>
        <v>0</v>
      </c>
      <c r="R114" s="82">
        <f t="shared" si="14"/>
        <v>0</v>
      </c>
      <c r="S114" s="82">
        <f t="shared" si="14"/>
        <v>0</v>
      </c>
      <c r="T114" s="82">
        <f t="shared" si="14"/>
        <v>0</v>
      </c>
      <c r="U114" s="82">
        <f t="shared" si="14"/>
        <v>0</v>
      </c>
      <c r="V114" s="90"/>
      <c r="W114" s="90"/>
      <c r="X114" s="90"/>
      <c r="Y114" s="90"/>
      <c r="Z114" s="90"/>
      <c r="AA114" s="90"/>
      <c r="AB114" s="90"/>
    </row>
    <row r="115" spans="1:28" ht="13.5">
      <c r="A115" s="22" t="s">
        <v>86</v>
      </c>
      <c r="B115" s="82">
        <f aca="true" t="shared" si="15" ref="B115:U115">IF(AND(B$106&lt;=$B$53,B$106&lt;&gt;0),$B$66,)</f>
        <v>0</v>
      </c>
      <c r="C115" s="82">
        <f t="shared" si="15"/>
        <v>0</v>
      </c>
      <c r="D115" s="82">
        <f t="shared" si="15"/>
        <v>0</v>
      </c>
      <c r="E115" s="82">
        <f t="shared" si="15"/>
        <v>0</v>
      </c>
      <c r="F115" s="82">
        <f t="shared" si="15"/>
        <v>0</v>
      </c>
      <c r="G115" s="82">
        <f t="shared" si="15"/>
        <v>0</v>
      </c>
      <c r="H115" s="82">
        <f t="shared" si="15"/>
        <v>0</v>
      </c>
      <c r="I115" s="82">
        <f t="shared" si="15"/>
        <v>0</v>
      </c>
      <c r="J115" s="82">
        <f t="shared" si="15"/>
        <v>0</v>
      </c>
      <c r="K115" s="82">
        <f t="shared" si="15"/>
        <v>0</v>
      </c>
      <c r="L115" s="82">
        <f t="shared" si="15"/>
        <v>0</v>
      </c>
      <c r="M115" s="82">
        <f t="shared" si="15"/>
        <v>0</v>
      </c>
      <c r="N115" s="82">
        <f t="shared" si="15"/>
        <v>0</v>
      </c>
      <c r="O115" s="82">
        <f t="shared" si="15"/>
        <v>0</v>
      </c>
      <c r="P115" s="82">
        <f t="shared" si="15"/>
        <v>0</v>
      </c>
      <c r="Q115" s="82">
        <f t="shared" si="15"/>
        <v>0</v>
      </c>
      <c r="R115" s="82">
        <f t="shared" si="15"/>
        <v>0</v>
      </c>
      <c r="S115" s="82">
        <f t="shared" si="15"/>
        <v>0</v>
      </c>
      <c r="T115" s="82">
        <f t="shared" si="15"/>
        <v>0</v>
      </c>
      <c r="U115" s="82">
        <f t="shared" si="15"/>
        <v>0</v>
      </c>
      <c r="V115" s="90"/>
      <c r="W115" s="90"/>
      <c r="X115" s="90"/>
      <c r="Y115" s="90"/>
      <c r="Z115" s="90"/>
      <c r="AA115" s="90"/>
      <c r="AB115" s="90"/>
    </row>
    <row r="116" spans="1:28" ht="13.5">
      <c r="A116" s="22" t="s">
        <v>284</v>
      </c>
      <c r="B116" s="82">
        <f aca="true" t="shared" si="16" ref="B116:U116">IF(AND(B$106&lt;=$B$53,B$106&lt;&gt;0),$B$67,)</f>
        <v>0</v>
      </c>
      <c r="C116" s="82">
        <f t="shared" si="16"/>
        <v>0</v>
      </c>
      <c r="D116" s="82">
        <f t="shared" si="16"/>
        <v>0</v>
      </c>
      <c r="E116" s="82">
        <f t="shared" si="16"/>
        <v>0</v>
      </c>
      <c r="F116" s="82">
        <f t="shared" si="16"/>
        <v>0</v>
      </c>
      <c r="G116" s="82">
        <f t="shared" si="16"/>
        <v>0</v>
      </c>
      <c r="H116" s="82">
        <f t="shared" si="16"/>
        <v>0</v>
      </c>
      <c r="I116" s="82">
        <f t="shared" si="16"/>
        <v>0</v>
      </c>
      <c r="J116" s="82">
        <f t="shared" si="16"/>
        <v>0</v>
      </c>
      <c r="K116" s="82">
        <f t="shared" si="16"/>
        <v>0</v>
      </c>
      <c r="L116" s="82">
        <f t="shared" si="16"/>
        <v>0</v>
      </c>
      <c r="M116" s="82">
        <f t="shared" si="16"/>
        <v>0</v>
      </c>
      <c r="N116" s="82">
        <f t="shared" si="16"/>
        <v>0</v>
      </c>
      <c r="O116" s="82">
        <f t="shared" si="16"/>
        <v>0</v>
      </c>
      <c r="P116" s="82">
        <f t="shared" si="16"/>
        <v>0</v>
      </c>
      <c r="Q116" s="82">
        <f t="shared" si="16"/>
        <v>0</v>
      </c>
      <c r="R116" s="82">
        <f t="shared" si="16"/>
        <v>0</v>
      </c>
      <c r="S116" s="82">
        <f t="shared" si="16"/>
        <v>0</v>
      </c>
      <c r="T116" s="82">
        <f t="shared" si="16"/>
        <v>0</v>
      </c>
      <c r="U116" s="82">
        <f t="shared" si="16"/>
        <v>0</v>
      </c>
      <c r="V116" s="90"/>
      <c r="W116" s="90"/>
      <c r="X116" s="90"/>
      <c r="Y116" s="90"/>
      <c r="Z116" s="90"/>
      <c r="AA116" s="90"/>
      <c r="AB116" s="90"/>
    </row>
    <row r="117" spans="1:28" ht="13.5">
      <c r="A117" s="22" t="s">
        <v>285</v>
      </c>
      <c r="B117" s="82">
        <f aca="true" t="shared" si="17" ref="B117:U117">IF(AND(B$106&lt;=$B$53,B$106&lt;&gt;0),$B$68,)</f>
        <v>0</v>
      </c>
      <c r="C117" s="82">
        <f t="shared" si="17"/>
        <v>0</v>
      </c>
      <c r="D117" s="82">
        <f t="shared" si="17"/>
        <v>0</v>
      </c>
      <c r="E117" s="82">
        <f t="shared" si="17"/>
        <v>0</v>
      </c>
      <c r="F117" s="82">
        <f t="shared" si="17"/>
        <v>0</v>
      </c>
      <c r="G117" s="82">
        <f t="shared" si="17"/>
        <v>0</v>
      </c>
      <c r="H117" s="82">
        <f t="shared" si="17"/>
        <v>0</v>
      </c>
      <c r="I117" s="82">
        <f t="shared" si="17"/>
        <v>0</v>
      </c>
      <c r="J117" s="82">
        <f t="shared" si="17"/>
        <v>0</v>
      </c>
      <c r="K117" s="82">
        <f t="shared" si="17"/>
        <v>0</v>
      </c>
      <c r="L117" s="82">
        <f t="shared" si="17"/>
        <v>0</v>
      </c>
      <c r="M117" s="82">
        <f t="shared" si="17"/>
        <v>0</v>
      </c>
      <c r="N117" s="82">
        <f t="shared" si="17"/>
        <v>0</v>
      </c>
      <c r="O117" s="82">
        <f t="shared" si="17"/>
        <v>0</v>
      </c>
      <c r="P117" s="82">
        <f t="shared" si="17"/>
        <v>0</v>
      </c>
      <c r="Q117" s="82">
        <f t="shared" si="17"/>
        <v>0</v>
      </c>
      <c r="R117" s="82">
        <f t="shared" si="17"/>
        <v>0</v>
      </c>
      <c r="S117" s="82">
        <f t="shared" si="17"/>
        <v>0</v>
      </c>
      <c r="T117" s="82">
        <f t="shared" si="17"/>
        <v>0</v>
      </c>
      <c r="U117" s="82">
        <f t="shared" si="17"/>
        <v>0</v>
      </c>
      <c r="V117" s="90"/>
      <c r="W117" s="90"/>
      <c r="X117" s="90"/>
      <c r="Y117" s="90"/>
      <c r="Z117" s="90"/>
      <c r="AA117" s="90"/>
      <c r="AB117" s="90"/>
    </row>
    <row r="118" spans="1:28" ht="13.5">
      <c r="A118" s="22" t="s">
        <v>329</v>
      </c>
      <c r="B118" s="82">
        <f aca="true" t="shared" si="18" ref="B118:U118">IF(AND(B$106&lt;=$B$53,B$106&lt;&gt;0),$B$69,)</f>
        <v>0</v>
      </c>
      <c r="C118" s="82">
        <f t="shared" si="18"/>
        <v>0</v>
      </c>
      <c r="D118" s="82">
        <f t="shared" si="18"/>
        <v>0</v>
      </c>
      <c r="E118" s="82">
        <f t="shared" si="18"/>
        <v>0</v>
      </c>
      <c r="F118" s="82">
        <f t="shared" si="18"/>
        <v>0</v>
      </c>
      <c r="G118" s="82">
        <f t="shared" si="18"/>
        <v>0</v>
      </c>
      <c r="H118" s="82">
        <f t="shared" si="18"/>
        <v>0</v>
      </c>
      <c r="I118" s="82">
        <f t="shared" si="18"/>
        <v>0</v>
      </c>
      <c r="J118" s="82">
        <f t="shared" si="18"/>
        <v>0</v>
      </c>
      <c r="K118" s="82">
        <f t="shared" si="18"/>
        <v>0</v>
      </c>
      <c r="L118" s="82">
        <f t="shared" si="18"/>
        <v>0</v>
      </c>
      <c r="M118" s="82">
        <f t="shared" si="18"/>
        <v>0</v>
      </c>
      <c r="N118" s="82">
        <f t="shared" si="18"/>
        <v>0</v>
      </c>
      <c r="O118" s="82">
        <f t="shared" si="18"/>
        <v>0</v>
      </c>
      <c r="P118" s="82">
        <f t="shared" si="18"/>
        <v>0</v>
      </c>
      <c r="Q118" s="82">
        <f t="shared" si="18"/>
        <v>0</v>
      </c>
      <c r="R118" s="82">
        <f t="shared" si="18"/>
        <v>0</v>
      </c>
      <c r="S118" s="82">
        <f t="shared" si="18"/>
        <v>0</v>
      </c>
      <c r="T118" s="82">
        <f t="shared" si="18"/>
        <v>0</v>
      </c>
      <c r="U118" s="82">
        <f t="shared" si="18"/>
        <v>0</v>
      </c>
      <c r="V118" s="90"/>
      <c r="W118" s="90"/>
      <c r="X118" s="90"/>
      <c r="Y118" s="90"/>
      <c r="Z118" s="90"/>
      <c r="AA118" s="90"/>
      <c r="AB118" s="90"/>
    </row>
    <row r="119" spans="1:28" ht="13.5">
      <c r="A119" s="124" t="s">
        <v>199</v>
      </c>
      <c r="B119" s="82">
        <f aca="true" t="shared" si="19" ref="B119:U119">IF(AND(B$106&lt;=$B$53,B$106&lt;&gt;0),$B$70,)</f>
        <v>0</v>
      </c>
      <c r="C119" s="82">
        <f t="shared" si="19"/>
        <v>0</v>
      </c>
      <c r="D119" s="82">
        <f t="shared" si="19"/>
        <v>0</v>
      </c>
      <c r="E119" s="82">
        <f t="shared" si="19"/>
        <v>0</v>
      </c>
      <c r="F119" s="82">
        <f t="shared" si="19"/>
        <v>0</v>
      </c>
      <c r="G119" s="82">
        <f t="shared" si="19"/>
        <v>0</v>
      </c>
      <c r="H119" s="82">
        <f t="shared" si="19"/>
        <v>0</v>
      </c>
      <c r="I119" s="82">
        <f t="shared" si="19"/>
        <v>0</v>
      </c>
      <c r="J119" s="82">
        <f t="shared" si="19"/>
        <v>0</v>
      </c>
      <c r="K119" s="82">
        <f t="shared" si="19"/>
        <v>0</v>
      </c>
      <c r="L119" s="82">
        <f t="shared" si="19"/>
        <v>0</v>
      </c>
      <c r="M119" s="82">
        <f t="shared" si="19"/>
        <v>0</v>
      </c>
      <c r="N119" s="82">
        <f t="shared" si="19"/>
        <v>0</v>
      </c>
      <c r="O119" s="82">
        <f t="shared" si="19"/>
        <v>0</v>
      </c>
      <c r="P119" s="82">
        <f t="shared" si="19"/>
        <v>0</v>
      </c>
      <c r="Q119" s="82">
        <f t="shared" si="19"/>
        <v>0</v>
      </c>
      <c r="R119" s="82">
        <f t="shared" si="19"/>
        <v>0</v>
      </c>
      <c r="S119" s="82">
        <f t="shared" si="19"/>
        <v>0</v>
      </c>
      <c r="T119" s="82">
        <f t="shared" si="19"/>
        <v>0</v>
      </c>
      <c r="U119" s="82">
        <f t="shared" si="19"/>
        <v>0</v>
      </c>
      <c r="V119" s="90"/>
      <c r="W119" s="90"/>
      <c r="X119" s="90"/>
      <c r="Y119" s="90"/>
      <c r="Z119" s="90"/>
      <c r="AA119" s="90"/>
      <c r="AB119" s="90"/>
    </row>
    <row r="120" spans="1:28" ht="13.5">
      <c r="A120" s="124" t="s">
        <v>119</v>
      </c>
      <c r="B120" s="82">
        <f aca="true" t="shared" si="20" ref="B120:U120">IF(AND(B$106&lt;=$B$53,B$106&lt;&gt;0),$B$71,)</f>
        <v>0</v>
      </c>
      <c r="C120" s="82">
        <f t="shared" si="20"/>
        <v>0</v>
      </c>
      <c r="D120" s="82">
        <f t="shared" si="20"/>
        <v>0</v>
      </c>
      <c r="E120" s="82">
        <f t="shared" si="20"/>
        <v>0</v>
      </c>
      <c r="F120" s="82">
        <f t="shared" si="20"/>
        <v>0</v>
      </c>
      <c r="G120" s="82">
        <f t="shared" si="20"/>
        <v>0</v>
      </c>
      <c r="H120" s="82">
        <f t="shared" si="20"/>
        <v>0</v>
      </c>
      <c r="I120" s="82">
        <f t="shared" si="20"/>
        <v>0</v>
      </c>
      <c r="J120" s="82">
        <f t="shared" si="20"/>
        <v>0</v>
      </c>
      <c r="K120" s="82">
        <f t="shared" si="20"/>
        <v>0</v>
      </c>
      <c r="L120" s="82">
        <f t="shared" si="20"/>
        <v>0</v>
      </c>
      <c r="M120" s="82">
        <f t="shared" si="20"/>
        <v>0</v>
      </c>
      <c r="N120" s="82">
        <f t="shared" si="20"/>
        <v>0</v>
      </c>
      <c r="O120" s="82">
        <f t="shared" si="20"/>
        <v>0</v>
      </c>
      <c r="P120" s="82">
        <f t="shared" si="20"/>
        <v>0</v>
      </c>
      <c r="Q120" s="82">
        <f t="shared" si="20"/>
        <v>0</v>
      </c>
      <c r="R120" s="82">
        <f t="shared" si="20"/>
        <v>0</v>
      </c>
      <c r="S120" s="82">
        <f t="shared" si="20"/>
        <v>0</v>
      </c>
      <c r="T120" s="82">
        <f t="shared" si="20"/>
        <v>0</v>
      </c>
      <c r="U120" s="82">
        <f t="shared" si="20"/>
        <v>0</v>
      </c>
      <c r="V120" s="90"/>
      <c r="W120" s="90"/>
      <c r="X120" s="90"/>
      <c r="Y120" s="90"/>
      <c r="Z120" s="90"/>
      <c r="AA120" s="90"/>
      <c r="AB120" s="90"/>
    </row>
    <row r="121" spans="1:28" ht="13.5">
      <c r="A121" s="124" t="s">
        <v>68</v>
      </c>
      <c r="B121" s="82">
        <f aca="true" t="shared" si="21" ref="B121:U121">IF(AND(B$106&lt;=$B$53,B$106&lt;&gt;0),$B$72,)</f>
        <v>0</v>
      </c>
      <c r="C121" s="82">
        <f t="shared" si="21"/>
        <v>0</v>
      </c>
      <c r="D121" s="82">
        <f t="shared" si="21"/>
        <v>0</v>
      </c>
      <c r="E121" s="82">
        <f t="shared" si="21"/>
        <v>0</v>
      </c>
      <c r="F121" s="82">
        <f t="shared" si="21"/>
        <v>0</v>
      </c>
      <c r="G121" s="82">
        <f t="shared" si="21"/>
        <v>0</v>
      </c>
      <c r="H121" s="82">
        <f t="shared" si="21"/>
        <v>0</v>
      </c>
      <c r="I121" s="82">
        <f t="shared" si="21"/>
        <v>0</v>
      </c>
      <c r="J121" s="82">
        <f t="shared" si="21"/>
        <v>0</v>
      </c>
      <c r="K121" s="82">
        <f t="shared" si="21"/>
        <v>0</v>
      </c>
      <c r="L121" s="82">
        <f t="shared" si="21"/>
        <v>0</v>
      </c>
      <c r="M121" s="82">
        <f t="shared" si="21"/>
        <v>0</v>
      </c>
      <c r="N121" s="82">
        <f t="shared" si="21"/>
        <v>0</v>
      </c>
      <c r="O121" s="82">
        <f t="shared" si="21"/>
        <v>0</v>
      </c>
      <c r="P121" s="82">
        <f t="shared" si="21"/>
        <v>0</v>
      </c>
      <c r="Q121" s="82">
        <f t="shared" si="21"/>
        <v>0</v>
      </c>
      <c r="R121" s="82">
        <f t="shared" si="21"/>
        <v>0</v>
      </c>
      <c r="S121" s="82">
        <f t="shared" si="21"/>
        <v>0</v>
      </c>
      <c r="T121" s="82">
        <f t="shared" si="21"/>
        <v>0</v>
      </c>
      <c r="U121" s="82">
        <f t="shared" si="21"/>
        <v>0</v>
      </c>
      <c r="V121" s="90"/>
      <c r="W121" s="90"/>
      <c r="X121" s="90"/>
      <c r="Y121" s="90"/>
      <c r="Z121" s="90"/>
      <c r="AA121" s="90"/>
      <c r="AB121" s="90"/>
    </row>
    <row r="122" spans="1:28" ht="13.5">
      <c r="A122" s="124" t="s">
        <v>313</v>
      </c>
      <c r="B122" s="98">
        <f>$B$59+$B$60+$B$61+$B$62</f>
        <v>0</v>
      </c>
      <c r="C122" s="98">
        <v>0</v>
      </c>
      <c r="D122" s="98">
        <v>0</v>
      </c>
      <c r="E122" s="98">
        <v>0</v>
      </c>
      <c r="F122" s="98">
        <v>0</v>
      </c>
      <c r="G122" s="98">
        <v>0</v>
      </c>
      <c r="H122" s="98">
        <v>0</v>
      </c>
      <c r="I122" s="98">
        <v>0</v>
      </c>
      <c r="J122" s="98">
        <v>0</v>
      </c>
      <c r="K122" s="98">
        <v>0</v>
      </c>
      <c r="L122" s="98">
        <v>0</v>
      </c>
      <c r="M122" s="98">
        <v>0</v>
      </c>
      <c r="N122" s="98">
        <v>0</v>
      </c>
      <c r="O122" s="98">
        <v>0</v>
      </c>
      <c r="P122" s="98">
        <v>0</v>
      </c>
      <c r="Q122" s="98">
        <v>0</v>
      </c>
      <c r="R122" s="98">
        <v>0</v>
      </c>
      <c r="S122" s="98">
        <v>0</v>
      </c>
      <c r="T122" s="98">
        <v>0</v>
      </c>
      <c r="U122" s="98">
        <v>0</v>
      </c>
      <c r="V122" s="90"/>
      <c r="W122" s="90"/>
      <c r="X122" s="90"/>
      <c r="Y122" s="90"/>
      <c r="Z122" s="90"/>
      <c r="AA122" s="90"/>
      <c r="AB122" s="90"/>
    </row>
    <row r="123" spans="1:28" ht="13.5">
      <c r="A123" s="124" t="s">
        <v>194</v>
      </c>
      <c r="B123" s="82">
        <f aca="true" t="shared" si="22" ref="B123:U123">IF(B$106=$B$78,$B$73,)</f>
        <v>0</v>
      </c>
      <c r="C123" s="82">
        <f t="shared" si="22"/>
        <v>0</v>
      </c>
      <c r="D123" s="82">
        <f t="shared" si="22"/>
        <v>0</v>
      </c>
      <c r="E123" s="82">
        <f t="shared" si="22"/>
        <v>0</v>
      </c>
      <c r="F123" s="82">
        <f t="shared" si="22"/>
        <v>0</v>
      </c>
      <c r="G123" s="82">
        <f t="shared" si="22"/>
        <v>0</v>
      </c>
      <c r="H123" s="82">
        <f t="shared" si="22"/>
        <v>0</v>
      </c>
      <c r="I123" s="82">
        <f t="shared" si="22"/>
        <v>0</v>
      </c>
      <c r="J123" s="82">
        <f t="shared" si="22"/>
        <v>0</v>
      </c>
      <c r="K123" s="82">
        <f t="shared" si="22"/>
        <v>0</v>
      </c>
      <c r="L123" s="82">
        <f t="shared" si="22"/>
        <v>0</v>
      </c>
      <c r="M123" s="82">
        <f t="shared" si="22"/>
        <v>0</v>
      </c>
      <c r="N123" s="82">
        <f t="shared" si="22"/>
        <v>0</v>
      </c>
      <c r="O123" s="82">
        <f t="shared" si="22"/>
        <v>0</v>
      </c>
      <c r="P123" s="82">
        <f t="shared" si="22"/>
        <v>0</v>
      </c>
      <c r="Q123" s="82">
        <f t="shared" si="22"/>
        <v>0</v>
      </c>
      <c r="R123" s="82">
        <f t="shared" si="22"/>
        <v>0</v>
      </c>
      <c r="S123" s="82">
        <f t="shared" si="22"/>
        <v>0</v>
      </c>
      <c r="T123" s="82">
        <f t="shared" si="22"/>
        <v>0</v>
      </c>
      <c r="U123" s="82">
        <f t="shared" si="22"/>
        <v>0</v>
      </c>
      <c r="V123" s="90"/>
      <c r="W123" s="90"/>
      <c r="X123" s="90"/>
      <c r="Y123" s="90"/>
      <c r="Z123" s="90"/>
      <c r="AA123" s="90"/>
      <c r="AB123" s="90"/>
    </row>
    <row r="124" spans="1:28" ht="13.5">
      <c r="A124" s="124" t="s">
        <v>197</v>
      </c>
      <c r="B124" s="82">
        <f aca="true" t="shared" si="23" ref="B124:U124">IF(B$106=$B$79,$B$74,)</f>
        <v>0</v>
      </c>
      <c r="C124" s="82">
        <f t="shared" si="23"/>
        <v>0</v>
      </c>
      <c r="D124" s="82">
        <f t="shared" si="23"/>
        <v>0</v>
      </c>
      <c r="E124" s="82">
        <f t="shared" si="23"/>
        <v>0</v>
      </c>
      <c r="F124" s="82">
        <f t="shared" si="23"/>
        <v>0</v>
      </c>
      <c r="G124" s="82">
        <f t="shared" si="23"/>
        <v>0</v>
      </c>
      <c r="H124" s="82">
        <f t="shared" si="23"/>
        <v>0</v>
      </c>
      <c r="I124" s="82">
        <f t="shared" si="23"/>
        <v>0</v>
      </c>
      <c r="J124" s="82">
        <f t="shared" si="23"/>
        <v>0</v>
      </c>
      <c r="K124" s="82">
        <f t="shared" si="23"/>
        <v>0</v>
      </c>
      <c r="L124" s="82">
        <f t="shared" si="23"/>
        <v>0</v>
      </c>
      <c r="M124" s="82">
        <f t="shared" si="23"/>
        <v>0</v>
      </c>
      <c r="N124" s="82">
        <f t="shared" si="23"/>
        <v>0</v>
      </c>
      <c r="O124" s="82">
        <f t="shared" si="23"/>
        <v>0</v>
      </c>
      <c r="P124" s="82">
        <f t="shared" si="23"/>
        <v>0</v>
      </c>
      <c r="Q124" s="82">
        <f t="shared" si="23"/>
        <v>0</v>
      </c>
      <c r="R124" s="82">
        <f t="shared" si="23"/>
        <v>0</v>
      </c>
      <c r="S124" s="82">
        <f t="shared" si="23"/>
        <v>0</v>
      </c>
      <c r="T124" s="82">
        <f t="shared" si="23"/>
        <v>0</v>
      </c>
      <c r="U124" s="82">
        <f t="shared" si="23"/>
        <v>0</v>
      </c>
      <c r="V124" s="90"/>
      <c r="W124" s="90"/>
      <c r="X124" s="90"/>
      <c r="Y124" s="90"/>
      <c r="Z124" s="90"/>
      <c r="AA124" s="90"/>
      <c r="AB124" s="90"/>
    </row>
    <row r="125" spans="1:28" ht="13.5">
      <c r="A125" s="124" t="s">
        <v>112</v>
      </c>
      <c r="B125" s="82">
        <f aca="true" t="shared" si="24" ref="B125:U125">IF(B$106=$B$80,$B$75,)</f>
        <v>0</v>
      </c>
      <c r="C125" s="82">
        <f t="shared" si="24"/>
        <v>0</v>
      </c>
      <c r="D125" s="82">
        <f t="shared" si="24"/>
        <v>0</v>
      </c>
      <c r="E125" s="82">
        <f t="shared" si="24"/>
        <v>0</v>
      </c>
      <c r="F125" s="82">
        <f t="shared" si="24"/>
        <v>0</v>
      </c>
      <c r="G125" s="82">
        <f t="shared" si="24"/>
        <v>0</v>
      </c>
      <c r="H125" s="82">
        <f t="shared" si="24"/>
        <v>0</v>
      </c>
      <c r="I125" s="82">
        <f t="shared" si="24"/>
        <v>0</v>
      </c>
      <c r="J125" s="82">
        <f t="shared" si="24"/>
        <v>0</v>
      </c>
      <c r="K125" s="82">
        <f t="shared" si="24"/>
        <v>0</v>
      </c>
      <c r="L125" s="82">
        <f t="shared" si="24"/>
        <v>0</v>
      </c>
      <c r="M125" s="82">
        <f t="shared" si="24"/>
        <v>0</v>
      </c>
      <c r="N125" s="82">
        <f t="shared" si="24"/>
        <v>0</v>
      </c>
      <c r="O125" s="82">
        <f t="shared" si="24"/>
        <v>0</v>
      </c>
      <c r="P125" s="82">
        <f t="shared" si="24"/>
        <v>0</v>
      </c>
      <c r="Q125" s="82">
        <f t="shared" si="24"/>
        <v>0</v>
      </c>
      <c r="R125" s="82">
        <f t="shared" si="24"/>
        <v>0</v>
      </c>
      <c r="S125" s="82">
        <f t="shared" si="24"/>
        <v>0</v>
      </c>
      <c r="T125" s="82">
        <f t="shared" si="24"/>
        <v>0</v>
      </c>
      <c r="U125" s="82">
        <f t="shared" si="24"/>
        <v>0</v>
      </c>
      <c r="V125" s="90"/>
      <c r="W125" s="90"/>
      <c r="X125" s="90"/>
      <c r="Y125" s="90"/>
      <c r="Z125" s="90"/>
      <c r="AA125" s="90"/>
      <c r="AB125" s="90"/>
    </row>
    <row r="126" spans="1:28" ht="13.5">
      <c r="A126" s="124" t="s">
        <v>104</v>
      </c>
      <c r="B126" s="82">
        <f aca="true" t="shared" si="25" ref="B126:U126">IF(B$106=$B$81,$B$76,)</f>
        <v>0</v>
      </c>
      <c r="C126" s="82">
        <f t="shared" si="25"/>
        <v>0</v>
      </c>
      <c r="D126" s="82">
        <f t="shared" si="25"/>
        <v>0</v>
      </c>
      <c r="E126" s="82">
        <f t="shared" si="25"/>
        <v>0</v>
      </c>
      <c r="F126" s="82">
        <f t="shared" si="25"/>
        <v>0</v>
      </c>
      <c r="G126" s="82">
        <f t="shared" si="25"/>
        <v>0</v>
      </c>
      <c r="H126" s="82">
        <f t="shared" si="25"/>
        <v>0</v>
      </c>
      <c r="I126" s="82">
        <f t="shared" si="25"/>
        <v>0</v>
      </c>
      <c r="J126" s="82">
        <f t="shared" si="25"/>
        <v>0</v>
      </c>
      <c r="K126" s="82">
        <f t="shared" si="25"/>
        <v>0</v>
      </c>
      <c r="L126" s="82">
        <f t="shared" si="25"/>
        <v>0</v>
      </c>
      <c r="M126" s="82">
        <f t="shared" si="25"/>
        <v>0</v>
      </c>
      <c r="N126" s="82">
        <f t="shared" si="25"/>
        <v>0</v>
      </c>
      <c r="O126" s="82">
        <f t="shared" si="25"/>
        <v>0</v>
      </c>
      <c r="P126" s="82">
        <f t="shared" si="25"/>
        <v>0</v>
      </c>
      <c r="Q126" s="82">
        <f t="shared" si="25"/>
        <v>0</v>
      </c>
      <c r="R126" s="82">
        <f t="shared" si="25"/>
        <v>0</v>
      </c>
      <c r="S126" s="82">
        <f t="shared" si="25"/>
        <v>0</v>
      </c>
      <c r="T126" s="82">
        <f t="shared" si="25"/>
        <v>0</v>
      </c>
      <c r="U126" s="82">
        <f t="shared" si="25"/>
        <v>0</v>
      </c>
      <c r="V126" s="90"/>
      <c r="W126" s="90"/>
      <c r="X126" s="90"/>
      <c r="Y126" s="90"/>
      <c r="Z126" s="90"/>
      <c r="AA126" s="90"/>
      <c r="AB126" s="90"/>
    </row>
    <row r="127" spans="1:28" ht="13.5">
      <c r="A127" s="124" t="s">
        <v>17</v>
      </c>
      <c r="B127" s="82">
        <f aca="true" t="shared" si="26" ref="B127:U127">IF(B$106=$B$82,$B$77,)</f>
        <v>0</v>
      </c>
      <c r="C127" s="82">
        <f t="shared" si="26"/>
        <v>0</v>
      </c>
      <c r="D127" s="82">
        <f t="shared" si="26"/>
        <v>0</v>
      </c>
      <c r="E127" s="82">
        <f t="shared" si="26"/>
        <v>0</v>
      </c>
      <c r="F127" s="82">
        <f t="shared" si="26"/>
        <v>0</v>
      </c>
      <c r="G127" s="82">
        <f t="shared" si="26"/>
        <v>0</v>
      </c>
      <c r="H127" s="82">
        <f t="shared" si="26"/>
        <v>0</v>
      </c>
      <c r="I127" s="82">
        <f t="shared" si="26"/>
        <v>0</v>
      </c>
      <c r="J127" s="82">
        <f t="shared" si="26"/>
        <v>0</v>
      </c>
      <c r="K127" s="82">
        <f t="shared" si="26"/>
        <v>0</v>
      </c>
      <c r="L127" s="82">
        <f t="shared" si="26"/>
        <v>0</v>
      </c>
      <c r="M127" s="82">
        <f t="shared" si="26"/>
        <v>0</v>
      </c>
      <c r="N127" s="82">
        <f t="shared" si="26"/>
        <v>0</v>
      </c>
      <c r="O127" s="82">
        <f t="shared" si="26"/>
        <v>0</v>
      </c>
      <c r="P127" s="82">
        <f t="shared" si="26"/>
        <v>0</v>
      </c>
      <c r="Q127" s="82">
        <f t="shared" si="26"/>
        <v>0</v>
      </c>
      <c r="R127" s="82">
        <f t="shared" si="26"/>
        <v>0</v>
      </c>
      <c r="S127" s="82">
        <f t="shared" si="26"/>
        <v>0</v>
      </c>
      <c r="T127" s="82">
        <f t="shared" si="26"/>
        <v>0</v>
      </c>
      <c r="U127" s="82">
        <f t="shared" si="26"/>
        <v>0</v>
      </c>
      <c r="V127" s="90"/>
      <c r="W127" s="90"/>
      <c r="X127" s="90"/>
      <c r="Y127" s="90"/>
      <c r="Z127" s="90"/>
      <c r="AA127" s="90"/>
      <c r="AB127" s="90"/>
    </row>
    <row r="128" spans="1:28" ht="13.5">
      <c r="A128" s="124" t="s">
        <v>287</v>
      </c>
      <c r="B128" s="82">
        <f aca="true" t="shared" si="27" ref="B128:U128">IF(AND(B$106&lt;=$B$53,B$106&lt;&gt;0),$B$87,)</f>
        <v>0</v>
      </c>
      <c r="C128" s="82">
        <f t="shared" si="27"/>
        <v>0</v>
      </c>
      <c r="D128" s="82">
        <f t="shared" si="27"/>
        <v>0</v>
      </c>
      <c r="E128" s="82">
        <f t="shared" si="27"/>
        <v>0</v>
      </c>
      <c r="F128" s="82">
        <f t="shared" si="27"/>
        <v>0</v>
      </c>
      <c r="G128" s="82">
        <f t="shared" si="27"/>
        <v>0</v>
      </c>
      <c r="H128" s="82">
        <f t="shared" si="27"/>
        <v>0</v>
      </c>
      <c r="I128" s="82">
        <f t="shared" si="27"/>
        <v>0</v>
      </c>
      <c r="J128" s="82">
        <f t="shared" si="27"/>
        <v>0</v>
      </c>
      <c r="K128" s="82">
        <f t="shared" si="27"/>
        <v>0</v>
      </c>
      <c r="L128" s="82">
        <f t="shared" si="27"/>
        <v>0</v>
      </c>
      <c r="M128" s="82">
        <f t="shared" si="27"/>
        <v>0</v>
      </c>
      <c r="N128" s="82">
        <f t="shared" si="27"/>
        <v>0</v>
      </c>
      <c r="O128" s="82">
        <f t="shared" si="27"/>
        <v>0</v>
      </c>
      <c r="P128" s="82">
        <f t="shared" si="27"/>
        <v>0</v>
      </c>
      <c r="Q128" s="82">
        <f t="shared" si="27"/>
        <v>0</v>
      </c>
      <c r="R128" s="82">
        <f t="shared" si="27"/>
        <v>0</v>
      </c>
      <c r="S128" s="82">
        <f t="shared" si="27"/>
        <v>0</v>
      </c>
      <c r="T128" s="82">
        <f t="shared" si="27"/>
        <v>0</v>
      </c>
      <c r="U128" s="82">
        <f t="shared" si="27"/>
        <v>0</v>
      </c>
      <c r="V128" s="98">
        <f>SUM(B128:U128)</f>
        <v>0</v>
      </c>
      <c r="W128" s="90"/>
      <c r="X128" s="90"/>
      <c r="Y128" s="90"/>
      <c r="Z128" s="90"/>
      <c r="AA128" s="90"/>
      <c r="AB128" s="90"/>
    </row>
    <row r="129" spans="1:28" ht="13.5">
      <c r="A129" s="124" t="s">
        <v>124</v>
      </c>
      <c r="B129" s="82">
        <f aca="true" t="shared" si="28" ref="B129:U129">B155</f>
        <v>0</v>
      </c>
      <c r="C129" s="82">
        <f t="shared" si="28"/>
        <v>0</v>
      </c>
      <c r="D129" s="82">
        <f t="shared" si="28"/>
        <v>0</v>
      </c>
      <c r="E129" s="82">
        <f t="shared" si="28"/>
        <v>0</v>
      </c>
      <c r="F129" s="82">
        <f t="shared" si="28"/>
        <v>0</v>
      </c>
      <c r="G129" s="82">
        <f t="shared" si="28"/>
        <v>0</v>
      </c>
      <c r="H129" s="82">
        <f t="shared" si="28"/>
        <v>0</v>
      </c>
      <c r="I129" s="82">
        <f t="shared" si="28"/>
        <v>0</v>
      </c>
      <c r="J129" s="82">
        <f t="shared" si="28"/>
        <v>0</v>
      </c>
      <c r="K129" s="82">
        <f t="shared" si="28"/>
        <v>0</v>
      </c>
      <c r="L129" s="82">
        <f t="shared" si="28"/>
        <v>0</v>
      </c>
      <c r="M129" s="82">
        <f t="shared" si="28"/>
        <v>0</v>
      </c>
      <c r="N129" s="82">
        <f t="shared" si="28"/>
        <v>0</v>
      </c>
      <c r="O129" s="82">
        <f t="shared" si="28"/>
        <v>0</v>
      </c>
      <c r="P129" s="82">
        <f t="shared" si="28"/>
        <v>0</v>
      </c>
      <c r="Q129" s="82">
        <f t="shared" si="28"/>
        <v>0</v>
      </c>
      <c r="R129" s="82">
        <f t="shared" si="28"/>
        <v>0</v>
      </c>
      <c r="S129" s="82">
        <f t="shared" si="28"/>
        <v>0</v>
      </c>
      <c r="T129" s="82">
        <f t="shared" si="28"/>
        <v>0</v>
      </c>
      <c r="U129" s="82">
        <f t="shared" si="28"/>
        <v>0</v>
      </c>
      <c r="V129" s="98">
        <f>SUM(B129:U129)</f>
        <v>0</v>
      </c>
      <c r="W129" s="90"/>
      <c r="X129" s="90"/>
      <c r="Y129" s="90"/>
      <c r="Z129" s="90"/>
      <c r="AA129" s="90"/>
      <c r="AB129" s="90"/>
    </row>
    <row r="130" spans="1:22" ht="13.5">
      <c r="A130" s="124" t="s">
        <v>201</v>
      </c>
      <c r="B130" s="82">
        <f>IF($B$85=1,ROUNDDOWN('消費税対応シート'!$N101*0.7%,0),0)</f>
        <v>26492</v>
      </c>
      <c r="C130" s="82">
        <f>IF($B$85=1,ROUNDDOWN('消費税対応シート'!$N102*0.7%,0),0)</f>
        <v>26492</v>
      </c>
      <c r="D130" s="82">
        <f>IF($B$85=1,ROUNDDOWN('消費税対応シート'!$N103*0.7%,0),0)</f>
        <v>26492</v>
      </c>
      <c r="E130" s="82">
        <f>IF($B$85=1,ROUNDDOWN('消費税対応シート'!$N104*0.7%,0),0)</f>
        <v>26492</v>
      </c>
      <c r="F130" s="82">
        <f>IF($B$85=1,ROUNDDOWN('消費税対応シート'!$N105*0.7%,0),0)</f>
        <v>26492</v>
      </c>
      <c r="G130" s="82">
        <f>IF($B$85=1,ROUNDDOWN('消費税対応シート'!$N106*0.7%,0),0)</f>
        <v>26492</v>
      </c>
      <c r="H130" s="82">
        <f>IF($B$85=1,ROUNDDOWN('消費税対応シート'!$N107*0.7%,0),0)</f>
        <v>26492</v>
      </c>
      <c r="I130" s="82">
        <f>IF($B$85=1,ROUNDDOWN('消費税対応シート'!$N108*0.7%,0),0)</f>
        <v>26492</v>
      </c>
      <c r="J130" s="82">
        <f>IF($B$85=1,ROUNDDOWN('消費税対応シート'!$N109*0.7%,0),0)</f>
        <v>26492</v>
      </c>
      <c r="K130" s="82">
        <f>IF($B$85=1,ROUNDDOWN('消費税対応シート'!$N110*0.7%,0),0)</f>
        <v>26492</v>
      </c>
      <c r="L130" s="82">
        <f>IF($B$85=1,ROUNDDOWN('消費税対応シート'!$N111*0.7%,0),0)</f>
        <v>26492</v>
      </c>
      <c r="M130" s="82">
        <f>IF($B$85=1,ROUNDDOWN('消費税対応シート'!$N112*0.7%,0),0)</f>
        <v>26492</v>
      </c>
      <c r="N130" s="82">
        <f>IF($B$85=1,ROUNDDOWN('消費税対応シート'!$N113*0.7%,0),0)</f>
        <v>26492</v>
      </c>
      <c r="O130" s="82">
        <f>IF($B$85=1,ROUNDDOWN('消費税対応シート'!$N114*0.7%,0),0)</f>
        <v>26492</v>
      </c>
      <c r="P130" s="82">
        <f>IF($B$85=1,ROUNDDOWN('消費税対応シート'!$N115*0.7%,0),0)</f>
        <v>26492</v>
      </c>
      <c r="Q130" s="82">
        <f>IF($B$85=1,ROUNDDOWN('消費税対応シート'!$N116*0.7%,0),0)</f>
        <v>26492</v>
      </c>
      <c r="R130" s="82">
        <f>IF($B$85=1,ROUNDDOWN('消費税対応シート'!$N117*0.7%,0),0)</f>
        <v>26492</v>
      </c>
      <c r="S130" s="82">
        <f>IF($B$85=1,ROUNDDOWN('消費税対応シート'!$N118*0.7%,0),0)</f>
        <v>26492</v>
      </c>
      <c r="T130" s="82">
        <f>IF($B$85=1,ROUNDDOWN('消費税対応シート'!$N119*0.7%,0),0)</f>
        <v>26492</v>
      </c>
      <c r="U130" s="82">
        <f>IF($B$85=1,ROUNDDOWN('消費税対応シート'!$N120*0.7%,0),0)</f>
        <v>26492</v>
      </c>
      <c r="V130" s="98">
        <f>SUM(B130:U130)</f>
        <v>529840</v>
      </c>
    </row>
    <row r="131" spans="1:22" ht="13.5">
      <c r="A131" s="124" t="s">
        <v>46</v>
      </c>
      <c r="B131" s="82">
        <f aca="true" t="shared" si="29" ref="B131:U131">ROUNDDOWN(B130*81%,0)</f>
        <v>21458</v>
      </c>
      <c r="C131" s="82">
        <f t="shared" si="29"/>
        <v>21458</v>
      </c>
      <c r="D131" s="82">
        <f t="shared" si="29"/>
        <v>21458</v>
      </c>
      <c r="E131" s="82">
        <f t="shared" si="29"/>
        <v>21458</v>
      </c>
      <c r="F131" s="82">
        <f t="shared" si="29"/>
        <v>21458</v>
      </c>
      <c r="G131" s="82">
        <f t="shared" si="29"/>
        <v>21458</v>
      </c>
      <c r="H131" s="82">
        <f t="shared" si="29"/>
        <v>21458</v>
      </c>
      <c r="I131" s="82">
        <f t="shared" si="29"/>
        <v>21458</v>
      </c>
      <c r="J131" s="82">
        <f t="shared" si="29"/>
        <v>21458</v>
      </c>
      <c r="K131" s="82">
        <f t="shared" si="29"/>
        <v>21458</v>
      </c>
      <c r="L131" s="82">
        <f t="shared" si="29"/>
        <v>21458</v>
      </c>
      <c r="M131" s="82">
        <f t="shared" si="29"/>
        <v>21458</v>
      </c>
      <c r="N131" s="82">
        <f t="shared" si="29"/>
        <v>21458</v>
      </c>
      <c r="O131" s="82">
        <f t="shared" si="29"/>
        <v>21458</v>
      </c>
      <c r="P131" s="82">
        <f t="shared" si="29"/>
        <v>21458</v>
      </c>
      <c r="Q131" s="82">
        <f t="shared" si="29"/>
        <v>21458</v>
      </c>
      <c r="R131" s="82">
        <f t="shared" si="29"/>
        <v>21458</v>
      </c>
      <c r="S131" s="82">
        <f t="shared" si="29"/>
        <v>21458</v>
      </c>
      <c r="T131" s="82">
        <f t="shared" si="29"/>
        <v>21458</v>
      </c>
      <c r="U131" s="82">
        <f t="shared" si="29"/>
        <v>21458</v>
      </c>
      <c r="V131" s="98">
        <f>SUM(B131:U131)</f>
        <v>429160</v>
      </c>
    </row>
    <row r="132" spans="1:28" ht="13.5">
      <c r="A132" s="124" t="s">
        <v>79</v>
      </c>
      <c r="B132" s="82">
        <f aca="true" t="shared" si="30" ref="B132:U132">SUM(B112:B131)</f>
        <v>47950</v>
      </c>
      <c r="C132" s="82">
        <f t="shared" si="30"/>
        <v>47950</v>
      </c>
      <c r="D132" s="82">
        <f t="shared" si="30"/>
        <v>47950</v>
      </c>
      <c r="E132" s="82">
        <f t="shared" si="30"/>
        <v>47950</v>
      </c>
      <c r="F132" s="82">
        <f t="shared" si="30"/>
        <v>47950</v>
      </c>
      <c r="G132" s="82">
        <f t="shared" si="30"/>
        <v>47950</v>
      </c>
      <c r="H132" s="82">
        <f t="shared" si="30"/>
        <v>47950</v>
      </c>
      <c r="I132" s="82">
        <f t="shared" si="30"/>
        <v>47950</v>
      </c>
      <c r="J132" s="82">
        <f t="shared" si="30"/>
        <v>47950</v>
      </c>
      <c r="K132" s="82">
        <f t="shared" si="30"/>
        <v>47950</v>
      </c>
      <c r="L132" s="82">
        <f t="shared" si="30"/>
        <v>47950</v>
      </c>
      <c r="M132" s="82">
        <f t="shared" si="30"/>
        <v>47950</v>
      </c>
      <c r="N132" s="82">
        <f t="shared" si="30"/>
        <v>47950</v>
      </c>
      <c r="O132" s="82">
        <f t="shared" si="30"/>
        <v>47950</v>
      </c>
      <c r="P132" s="82">
        <f t="shared" si="30"/>
        <v>47950</v>
      </c>
      <c r="Q132" s="82">
        <f t="shared" si="30"/>
        <v>47950</v>
      </c>
      <c r="R132" s="82">
        <f t="shared" si="30"/>
        <v>47950</v>
      </c>
      <c r="S132" s="82">
        <f t="shared" si="30"/>
        <v>47950</v>
      </c>
      <c r="T132" s="82">
        <f t="shared" si="30"/>
        <v>47950</v>
      </c>
      <c r="U132" s="82">
        <f t="shared" si="30"/>
        <v>47950</v>
      </c>
      <c r="V132" s="98">
        <f>SUM(B132:U132)</f>
        <v>959000</v>
      </c>
      <c r="W132" s="90"/>
      <c r="X132" s="21"/>
      <c r="Y132" s="90"/>
      <c r="Z132" s="90"/>
      <c r="AA132" s="90"/>
      <c r="AB132" s="90"/>
    </row>
    <row r="133" spans="1:28" ht="13.5">
      <c r="A133" s="124" t="s">
        <v>275</v>
      </c>
      <c r="B133" s="98">
        <f>SUM(B108:U108)</f>
        <v>8528280</v>
      </c>
      <c r="C133" s="124"/>
      <c r="V133" s="90"/>
      <c r="W133" s="90"/>
      <c r="X133" s="90"/>
      <c r="Y133" s="90"/>
      <c r="Z133" s="90"/>
      <c r="AA133" s="90"/>
      <c r="AB133" s="90"/>
    </row>
    <row r="134" spans="2:28" s="124" customFormat="1" ht="13.5">
      <c r="B134" s="128"/>
      <c r="V134" s="90"/>
      <c r="W134" s="90"/>
      <c r="X134" s="90"/>
      <c r="Y134" s="90"/>
      <c r="Z134" s="90"/>
      <c r="AA134" s="90"/>
      <c r="AB134" s="90"/>
    </row>
    <row r="135" spans="1:28" ht="13.5">
      <c r="A135" s="124"/>
      <c r="B135" s="16">
        <v>1</v>
      </c>
      <c r="C135" s="16">
        <f aca="true" t="shared" si="31" ref="C135:U135">IF(B135&lt;$B$92,B135+1,"")</f>
      </c>
      <c r="D135" s="16">
        <f t="shared" si="31"/>
      </c>
      <c r="E135" s="16">
        <f t="shared" si="31"/>
      </c>
      <c r="F135" s="16">
        <f t="shared" si="31"/>
      </c>
      <c r="G135" s="16">
        <f t="shared" si="31"/>
      </c>
      <c r="H135" s="16">
        <f t="shared" si="31"/>
      </c>
      <c r="I135" s="16">
        <f t="shared" si="31"/>
      </c>
      <c r="J135" s="16">
        <f t="shared" si="31"/>
      </c>
      <c r="K135" s="16">
        <f t="shared" si="31"/>
      </c>
      <c r="L135" s="16">
        <f t="shared" si="31"/>
      </c>
      <c r="M135" s="16">
        <f t="shared" si="31"/>
      </c>
      <c r="N135" s="16">
        <f t="shared" si="31"/>
      </c>
      <c r="O135" s="16">
        <f t="shared" si="31"/>
      </c>
      <c r="P135" s="16">
        <f t="shared" si="31"/>
      </c>
      <c r="Q135" s="16">
        <f t="shared" si="31"/>
      </c>
      <c r="R135" s="16">
        <f t="shared" si="31"/>
      </c>
      <c r="S135" s="16">
        <f t="shared" si="31"/>
      </c>
      <c r="T135" s="16">
        <f t="shared" si="31"/>
      </c>
      <c r="U135" s="16">
        <f t="shared" si="31"/>
      </c>
      <c r="V135" s="90"/>
      <c r="W135" s="90"/>
      <c r="X135" s="90"/>
      <c r="Y135" s="90"/>
      <c r="Z135" s="90"/>
      <c r="AA135" s="90"/>
      <c r="AB135" s="90"/>
    </row>
    <row r="136" spans="1:21" ht="13.5">
      <c r="A136" s="124" t="s">
        <v>247</v>
      </c>
      <c r="B136" s="82">
        <f>$B$95</f>
        <v>0</v>
      </c>
      <c r="C136" s="82">
        <f aca="true" t="shared" si="32" ref="C136:U136">IF(AND(C103&lt;=$B$53,C103&lt;&gt;0),B136,)</f>
        <v>0</v>
      </c>
      <c r="D136" s="82">
        <f t="shared" si="32"/>
        <v>0</v>
      </c>
      <c r="E136" s="82">
        <f t="shared" si="32"/>
        <v>0</v>
      </c>
      <c r="F136" s="82">
        <f t="shared" si="32"/>
        <v>0</v>
      </c>
      <c r="G136" s="82">
        <f t="shared" si="32"/>
        <v>0</v>
      </c>
      <c r="H136" s="82">
        <f t="shared" si="32"/>
        <v>0</v>
      </c>
      <c r="I136" s="82">
        <f t="shared" si="32"/>
        <v>0</v>
      </c>
      <c r="J136" s="82">
        <f t="shared" si="32"/>
        <v>0</v>
      </c>
      <c r="K136" s="82">
        <f t="shared" si="32"/>
        <v>0</v>
      </c>
      <c r="L136" s="82">
        <f t="shared" si="32"/>
        <v>0</v>
      </c>
      <c r="M136" s="82">
        <f t="shared" si="32"/>
        <v>0</v>
      </c>
      <c r="N136" s="82">
        <f t="shared" si="32"/>
        <v>0</v>
      </c>
      <c r="O136" s="82">
        <f t="shared" si="32"/>
        <v>0</v>
      </c>
      <c r="P136" s="82">
        <f t="shared" si="32"/>
        <v>0</v>
      </c>
      <c r="Q136" s="82">
        <f t="shared" si="32"/>
        <v>0</v>
      </c>
      <c r="R136" s="82">
        <f t="shared" si="32"/>
        <v>0</v>
      </c>
      <c r="S136" s="82">
        <f t="shared" si="32"/>
        <v>0</v>
      </c>
      <c r="T136" s="82">
        <f t="shared" si="32"/>
        <v>0</v>
      </c>
      <c r="U136" s="82">
        <f t="shared" si="32"/>
        <v>0</v>
      </c>
    </row>
    <row r="137" spans="2:23" s="124" customFormat="1" ht="13.5">
      <c r="B137" s="117"/>
      <c r="C137" s="117"/>
      <c r="D137" s="117"/>
      <c r="E137" s="117"/>
      <c r="F137" s="117"/>
      <c r="G137" s="117"/>
      <c r="H137" s="117"/>
      <c r="I137" s="117"/>
      <c r="J137" s="117"/>
      <c r="K137" s="117"/>
      <c r="L137" s="117"/>
      <c r="M137" s="117"/>
      <c r="N137" s="117"/>
      <c r="O137" s="117"/>
      <c r="P137" s="117"/>
      <c r="Q137" s="117"/>
      <c r="R137" s="117"/>
      <c r="S137" s="117"/>
      <c r="T137" s="117"/>
      <c r="U137" s="117"/>
      <c r="W137" s="22"/>
    </row>
    <row r="138" ht="13.5"/>
    <row r="139" spans="1:22" ht="13.5">
      <c r="A139" s="124" t="s">
        <v>22</v>
      </c>
      <c r="B139" s="98">
        <f aca="true" t="shared" si="33" ref="B139:U139">IF(AND(B103&lt;=$B$53,B103&lt;&gt;0),SUM(B132,B154))</f>
        <v>47950</v>
      </c>
      <c r="C139" s="98">
        <f t="shared" si="33"/>
        <v>47950</v>
      </c>
      <c r="D139" s="98">
        <f t="shared" si="33"/>
        <v>47950</v>
      </c>
      <c r="E139" s="98">
        <f t="shared" si="33"/>
        <v>47950</v>
      </c>
      <c r="F139" s="98">
        <f t="shared" si="33"/>
        <v>47950</v>
      </c>
      <c r="G139" s="98">
        <f t="shared" si="33"/>
        <v>47950</v>
      </c>
      <c r="H139" s="98">
        <f t="shared" si="33"/>
        <v>47950</v>
      </c>
      <c r="I139" s="98">
        <f t="shared" si="33"/>
        <v>47950</v>
      </c>
      <c r="J139" s="98">
        <f t="shared" si="33"/>
        <v>47950</v>
      </c>
      <c r="K139" s="98">
        <f t="shared" si="33"/>
        <v>47950</v>
      </c>
      <c r="L139" s="98">
        <f t="shared" si="33"/>
        <v>47950</v>
      </c>
      <c r="M139" s="98">
        <f t="shared" si="33"/>
        <v>47950</v>
      </c>
      <c r="N139" s="98">
        <f t="shared" si="33"/>
        <v>47950</v>
      </c>
      <c r="O139" s="98">
        <f t="shared" si="33"/>
        <v>47950</v>
      </c>
      <c r="P139" s="98">
        <f t="shared" si="33"/>
        <v>47950</v>
      </c>
      <c r="Q139" s="98">
        <f t="shared" si="33"/>
        <v>47950</v>
      </c>
      <c r="R139" s="98">
        <f t="shared" si="33"/>
        <v>47950</v>
      </c>
      <c r="S139" s="98">
        <f t="shared" si="33"/>
        <v>47950</v>
      </c>
      <c r="T139" s="98">
        <f t="shared" si="33"/>
        <v>47950</v>
      </c>
      <c r="U139" s="98">
        <f t="shared" si="33"/>
        <v>47950</v>
      </c>
      <c r="V139" s="187"/>
    </row>
    <row r="140" spans="1:23" ht="13.5">
      <c r="A140" s="124" t="s">
        <v>269</v>
      </c>
      <c r="B140" s="98">
        <f aca="true" t="shared" si="34" ref="B140:U140">B104-B109-B139</f>
        <v>3736762</v>
      </c>
      <c r="C140" s="98">
        <f t="shared" si="34"/>
        <v>3736762</v>
      </c>
      <c r="D140" s="98">
        <f t="shared" si="34"/>
        <v>3736762</v>
      </c>
      <c r="E140" s="98">
        <f t="shared" si="34"/>
        <v>3736762</v>
      </c>
      <c r="F140" s="98">
        <f t="shared" si="34"/>
        <v>3736762</v>
      </c>
      <c r="G140" s="98">
        <f t="shared" si="34"/>
        <v>3736762</v>
      </c>
      <c r="H140" s="98">
        <f t="shared" si="34"/>
        <v>3736762</v>
      </c>
      <c r="I140" s="98">
        <f t="shared" si="34"/>
        <v>3736762</v>
      </c>
      <c r="J140" s="98">
        <f t="shared" si="34"/>
        <v>3736762</v>
      </c>
      <c r="K140" s="98">
        <f t="shared" si="34"/>
        <v>3736762</v>
      </c>
      <c r="L140" s="98">
        <f t="shared" si="34"/>
        <v>3736762</v>
      </c>
      <c r="M140" s="98">
        <f t="shared" si="34"/>
        <v>3736762</v>
      </c>
      <c r="N140" s="98">
        <f t="shared" si="34"/>
        <v>3736762</v>
      </c>
      <c r="O140" s="98">
        <f t="shared" si="34"/>
        <v>3736762</v>
      </c>
      <c r="P140" s="98">
        <f t="shared" si="34"/>
        <v>3736762</v>
      </c>
      <c r="Q140" s="98">
        <f t="shared" si="34"/>
        <v>3736762</v>
      </c>
      <c r="R140" s="98">
        <f t="shared" si="34"/>
        <v>3736762</v>
      </c>
      <c r="S140" s="98">
        <f t="shared" si="34"/>
        <v>3736762</v>
      </c>
      <c r="T140" s="98">
        <f t="shared" si="34"/>
        <v>3736762</v>
      </c>
      <c r="U140" s="98">
        <f t="shared" si="34"/>
        <v>3736762</v>
      </c>
      <c r="W140" s="151"/>
    </row>
    <row r="141" spans="1:21" ht="13.5">
      <c r="A141" s="124" t="s">
        <v>186</v>
      </c>
      <c r="B141" s="98">
        <v>0</v>
      </c>
      <c r="C141" s="98">
        <v>0</v>
      </c>
      <c r="D141" s="98">
        <v>0</v>
      </c>
      <c r="E141" s="98">
        <v>0</v>
      </c>
      <c r="F141" s="98">
        <v>0</v>
      </c>
      <c r="G141" s="98">
        <v>0</v>
      </c>
      <c r="H141" s="98">
        <v>0</v>
      </c>
      <c r="I141" s="98">
        <v>0</v>
      </c>
      <c r="J141" s="98">
        <v>0</v>
      </c>
      <c r="K141" s="98">
        <v>0</v>
      </c>
      <c r="L141" s="98">
        <v>0</v>
      </c>
      <c r="M141" s="98">
        <v>0</v>
      </c>
      <c r="N141" s="98">
        <v>0</v>
      </c>
      <c r="O141" s="98">
        <v>0</v>
      </c>
      <c r="P141" s="98">
        <v>0</v>
      </c>
      <c r="Q141" s="98">
        <v>0</v>
      </c>
      <c r="R141" s="98">
        <v>0</v>
      </c>
      <c r="S141" s="98">
        <v>0</v>
      </c>
      <c r="T141" s="98">
        <v>0</v>
      </c>
      <c r="U141" s="98">
        <v>0</v>
      </c>
    </row>
    <row r="142" spans="1:22" ht="13.5">
      <c r="A142" s="124" t="s">
        <v>226</v>
      </c>
      <c r="B142" s="98">
        <f aca="true" t="shared" si="35" ref="B142:U142">IF(ISERROR(B$140-B$141),0,B$140-B$141)</f>
        <v>3736762</v>
      </c>
      <c r="C142" s="98">
        <f t="shared" si="35"/>
        <v>3736762</v>
      </c>
      <c r="D142" s="98">
        <f t="shared" si="35"/>
        <v>3736762</v>
      </c>
      <c r="E142" s="98">
        <f t="shared" si="35"/>
        <v>3736762</v>
      </c>
      <c r="F142" s="98">
        <f t="shared" si="35"/>
        <v>3736762</v>
      </c>
      <c r="G142" s="98">
        <f t="shared" si="35"/>
        <v>3736762</v>
      </c>
      <c r="H142" s="98">
        <f t="shared" si="35"/>
        <v>3736762</v>
      </c>
      <c r="I142" s="98">
        <f t="shared" si="35"/>
        <v>3736762</v>
      </c>
      <c r="J142" s="98">
        <f t="shared" si="35"/>
        <v>3736762</v>
      </c>
      <c r="K142" s="98">
        <f t="shared" si="35"/>
        <v>3736762</v>
      </c>
      <c r="L142" s="98">
        <f t="shared" si="35"/>
        <v>3736762</v>
      </c>
      <c r="M142" s="98">
        <f t="shared" si="35"/>
        <v>3736762</v>
      </c>
      <c r="N142" s="98">
        <f t="shared" si="35"/>
        <v>3736762</v>
      </c>
      <c r="O142" s="98">
        <f t="shared" si="35"/>
        <v>3736762</v>
      </c>
      <c r="P142" s="98">
        <f t="shared" si="35"/>
        <v>3736762</v>
      </c>
      <c r="Q142" s="98">
        <f t="shared" si="35"/>
        <v>3736762</v>
      </c>
      <c r="R142" s="98">
        <f t="shared" si="35"/>
        <v>3736762</v>
      </c>
      <c r="S142" s="98">
        <f t="shared" si="35"/>
        <v>3736762</v>
      </c>
      <c r="T142" s="98">
        <f t="shared" si="35"/>
        <v>3736762</v>
      </c>
      <c r="U142" s="98">
        <f t="shared" si="35"/>
        <v>3736762</v>
      </c>
      <c r="V142" s="124"/>
    </row>
    <row r="143" spans="1:22" ht="13.5">
      <c r="A143" s="75" t="s">
        <v>263</v>
      </c>
      <c r="B143" s="98">
        <f>B142</f>
        <v>3736762</v>
      </c>
      <c r="C143" s="82">
        <f aca="true" t="shared" si="36" ref="C143:U143">IF(B143&gt;=0,C142,B143+C142+C144)</f>
        <v>3736762</v>
      </c>
      <c r="D143" s="82">
        <f t="shared" si="36"/>
        <v>3736762</v>
      </c>
      <c r="E143" s="82">
        <f t="shared" si="36"/>
        <v>3736762</v>
      </c>
      <c r="F143" s="82">
        <f t="shared" si="36"/>
        <v>3736762</v>
      </c>
      <c r="G143" s="82">
        <f t="shared" si="36"/>
        <v>3736762</v>
      </c>
      <c r="H143" s="82">
        <f t="shared" si="36"/>
        <v>3736762</v>
      </c>
      <c r="I143" s="82">
        <f t="shared" si="36"/>
        <v>3736762</v>
      </c>
      <c r="J143" s="82">
        <f t="shared" si="36"/>
        <v>3736762</v>
      </c>
      <c r="K143" s="82">
        <f t="shared" si="36"/>
        <v>3736762</v>
      </c>
      <c r="L143" s="82">
        <f t="shared" si="36"/>
        <v>3736762</v>
      </c>
      <c r="M143" s="82">
        <f t="shared" si="36"/>
        <v>3736762</v>
      </c>
      <c r="N143" s="82">
        <f t="shared" si="36"/>
        <v>3736762</v>
      </c>
      <c r="O143" s="82">
        <f t="shared" si="36"/>
        <v>3736762</v>
      </c>
      <c r="P143" s="82">
        <f t="shared" si="36"/>
        <v>3736762</v>
      </c>
      <c r="Q143" s="82">
        <f t="shared" si="36"/>
        <v>3736762</v>
      </c>
      <c r="R143" s="82">
        <f t="shared" si="36"/>
        <v>3736762</v>
      </c>
      <c r="S143" s="82">
        <f t="shared" si="36"/>
        <v>3736762</v>
      </c>
      <c r="T143" s="82">
        <f t="shared" si="36"/>
        <v>3736762</v>
      </c>
      <c r="U143" s="82">
        <f t="shared" si="36"/>
        <v>3736762</v>
      </c>
      <c r="V143" s="124"/>
    </row>
    <row r="144" spans="1:22" ht="13.5">
      <c r="A144" s="75" t="s">
        <v>185</v>
      </c>
      <c r="B144" s="98">
        <v>0</v>
      </c>
      <c r="C144" s="82">
        <v>0</v>
      </c>
      <c r="D144" s="82">
        <v>0</v>
      </c>
      <c r="E144" s="82">
        <v>0</v>
      </c>
      <c r="F144" s="82">
        <v>0</v>
      </c>
      <c r="G144" s="82">
        <v>0</v>
      </c>
      <c r="H144" s="82">
        <v>0</v>
      </c>
      <c r="I144" s="82">
        <v>0</v>
      </c>
      <c r="J144" s="82">
        <v>0</v>
      </c>
      <c r="K144" s="82">
        <v>0</v>
      </c>
      <c r="L144" s="82">
        <f aca="true" t="shared" si="37" ref="L144:U144">IF(COUNTIF(C143:K143,"&gt;=0")&gt;0,0,IF(B142&gt;=0,0,B142)*-1)</f>
        <v>0</v>
      </c>
      <c r="M144" s="82">
        <f t="shared" si="37"/>
        <v>0</v>
      </c>
      <c r="N144" s="82">
        <f t="shared" si="37"/>
        <v>0</v>
      </c>
      <c r="O144" s="82">
        <f t="shared" si="37"/>
        <v>0</v>
      </c>
      <c r="P144" s="82">
        <f t="shared" si="37"/>
        <v>0</v>
      </c>
      <c r="Q144" s="82">
        <f t="shared" si="37"/>
        <v>0</v>
      </c>
      <c r="R144" s="82">
        <f t="shared" si="37"/>
        <v>0</v>
      </c>
      <c r="S144" s="82">
        <f t="shared" si="37"/>
        <v>0</v>
      </c>
      <c r="T144" s="82">
        <f t="shared" si="37"/>
        <v>0</v>
      </c>
      <c r="U144" s="82">
        <f t="shared" si="37"/>
        <v>0</v>
      </c>
      <c r="V144" s="124"/>
    </row>
    <row r="145" spans="1:22" ht="13.5">
      <c r="A145" s="124" t="s">
        <v>90</v>
      </c>
      <c r="B145" s="98">
        <f>B142</f>
        <v>3736762</v>
      </c>
      <c r="C145" s="98">
        <f aca="true" t="shared" si="38" ref="C145:U145">IF(B143+C144&gt;=0,C142,C143)</f>
        <v>3736762</v>
      </c>
      <c r="D145" s="98">
        <f t="shared" si="38"/>
        <v>3736762</v>
      </c>
      <c r="E145" s="98">
        <f t="shared" si="38"/>
        <v>3736762</v>
      </c>
      <c r="F145" s="98">
        <f t="shared" si="38"/>
        <v>3736762</v>
      </c>
      <c r="G145" s="98">
        <f t="shared" si="38"/>
        <v>3736762</v>
      </c>
      <c r="H145" s="98">
        <f t="shared" si="38"/>
        <v>3736762</v>
      </c>
      <c r="I145" s="98">
        <f t="shared" si="38"/>
        <v>3736762</v>
      </c>
      <c r="J145" s="98">
        <f t="shared" si="38"/>
        <v>3736762</v>
      </c>
      <c r="K145" s="98">
        <f t="shared" si="38"/>
        <v>3736762</v>
      </c>
      <c r="L145" s="98">
        <f t="shared" si="38"/>
        <v>3736762</v>
      </c>
      <c r="M145" s="98">
        <f t="shared" si="38"/>
        <v>3736762</v>
      </c>
      <c r="N145" s="98">
        <f t="shared" si="38"/>
        <v>3736762</v>
      </c>
      <c r="O145" s="98">
        <f t="shared" si="38"/>
        <v>3736762</v>
      </c>
      <c r="P145" s="98">
        <f t="shared" si="38"/>
        <v>3736762</v>
      </c>
      <c r="Q145" s="98">
        <f t="shared" si="38"/>
        <v>3736762</v>
      </c>
      <c r="R145" s="98">
        <f t="shared" si="38"/>
        <v>3736762</v>
      </c>
      <c r="S145" s="98">
        <f t="shared" si="38"/>
        <v>3736762</v>
      </c>
      <c r="T145" s="98">
        <f t="shared" si="38"/>
        <v>3736762</v>
      </c>
      <c r="U145" s="98">
        <f t="shared" si="38"/>
        <v>3736762</v>
      </c>
      <c r="V145" s="124"/>
    </row>
    <row r="146" spans="1:22" ht="13.5">
      <c r="A146" s="124" t="s">
        <v>89</v>
      </c>
      <c r="B146" s="98">
        <f aca="true" t="shared" si="39" ref="B146:U146">IF(B145&lt;0,0,B145*$B$83)</f>
        <v>1330287.2719999999</v>
      </c>
      <c r="C146" s="98">
        <f t="shared" si="39"/>
        <v>1330287.2719999999</v>
      </c>
      <c r="D146" s="98">
        <f t="shared" si="39"/>
        <v>1330287.2719999999</v>
      </c>
      <c r="E146" s="98">
        <f t="shared" si="39"/>
        <v>1330287.2719999999</v>
      </c>
      <c r="F146" s="98">
        <f t="shared" si="39"/>
        <v>1330287.2719999999</v>
      </c>
      <c r="G146" s="98">
        <f t="shared" si="39"/>
        <v>1330287.2719999999</v>
      </c>
      <c r="H146" s="98">
        <f t="shared" si="39"/>
        <v>1330287.2719999999</v>
      </c>
      <c r="I146" s="98">
        <f t="shared" si="39"/>
        <v>1330287.2719999999</v>
      </c>
      <c r="J146" s="98">
        <f t="shared" si="39"/>
        <v>1330287.2719999999</v>
      </c>
      <c r="K146" s="98">
        <f t="shared" si="39"/>
        <v>1330287.2719999999</v>
      </c>
      <c r="L146" s="98">
        <f t="shared" si="39"/>
        <v>1330287.2719999999</v>
      </c>
      <c r="M146" s="98">
        <f t="shared" si="39"/>
        <v>1330287.2719999999</v>
      </c>
      <c r="N146" s="98">
        <f t="shared" si="39"/>
        <v>1330287.2719999999</v>
      </c>
      <c r="O146" s="98">
        <f t="shared" si="39"/>
        <v>1330287.2719999999</v>
      </c>
      <c r="P146" s="98">
        <f t="shared" si="39"/>
        <v>1330287.2719999999</v>
      </c>
      <c r="Q146" s="98">
        <f t="shared" si="39"/>
        <v>1330287.2719999999</v>
      </c>
      <c r="R146" s="98">
        <f t="shared" si="39"/>
        <v>1330287.2719999999</v>
      </c>
      <c r="S146" s="98">
        <f t="shared" si="39"/>
        <v>1330287.2719999999</v>
      </c>
      <c r="T146" s="98">
        <f t="shared" si="39"/>
        <v>1330287.2719999999</v>
      </c>
      <c r="U146" s="98">
        <f t="shared" si="39"/>
        <v>1330287.2719999999</v>
      </c>
      <c r="V146" s="124"/>
    </row>
    <row r="147" spans="1:22" ht="13.5">
      <c r="A147" s="22" t="s">
        <v>132</v>
      </c>
      <c r="B147" s="98">
        <f>IF(B88=3,MIN(B94*7%,B146*20%),IF(B88=5,MIN(B94*4%,B146*20%),0))</f>
        <v>0</v>
      </c>
      <c r="C147" s="98">
        <f>IF(B88=3,IF(B146*20%&lt;B94*7%,MIN(B94*7%-B146*20%,C146*20%),IF(B88=5,IF(B146*20%&lt;B94*4%,MIN(B94*4%-B146*20%,C146*20%),0),0)),0)</f>
        <v>0</v>
      </c>
      <c r="D147" s="98">
        <v>0</v>
      </c>
      <c r="E147" s="98">
        <v>0</v>
      </c>
      <c r="F147" s="98">
        <v>0</v>
      </c>
      <c r="G147" s="98">
        <v>0</v>
      </c>
      <c r="H147" s="98">
        <v>0</v>
      </c>
      <c r="I147" s="98">
        <v>0</v>
      </c>
      <c r="J147" s="98">
        <v>0</v>
      </c>
      <c r="K147" s="98">
        <v>0</v>
      </c>
      <c r="L147" s="98">
        <v>0</v>
      </c>
      <c r="M147" s="98">
        <v>0</v>
      </c>
      <c r="N147" s="98">
        <v>0</v>
      </c>
      <c r="O147" s="98">
        <v>0</v>
      </c>
      <c r="P147" s="98">
        <v>0</v>
      </c>
      <c r="Q147" s="98">
        <v>0</v>
      </c>
      <c r="R147" s="98">
        <v>0</v>
      </c>
      <c r="S147" s="98">
        <v>0</v>
      </c>
      <c r="T147" s="98">
        <v>0</v>
      </c>
      <c r="U147" s="98">
        <v>0</v>
      </c>
      <c r="V147" s="124"/>
    </row>
    <row r="148" spans="1:22" ht="13.5">
      <c r="A148" s="124" t="s">
        <v>109</v>
      </c>
      <c r="B148" s="98">
        <f aca="true" t="shared" si="40" ref="B148:U148">B$142-B$146+B$147</f>
        <v>2406474.728</v>
      </c>
      <c r="C148" s="98">
        <f t="shared" si="40"/>
        <v>2406474.728</v>
      </c>
      <c r="D148" s="98">
        <f t="shared" si="40"/>
        <v>2406474.728</v>
      </c>
      <c r="E148" s="98">
        <f t="shared" si="40"/>
        <v>2406474.728</v>
      </c>
      <c r="F148" s="98">
        <f t="shared" si="40"/>
        <v>2406474.728</v>
      </c>
      <c r="G148" s="98">
        <f t="shared" si="40"/>
        <v>2406474.728</v>
      </c>
      <c r="H148" s="98">
        <f t="shared" si="40"/>
        <v>2406474.728</v>
      </c>
      <c r="I148" s="98">
        <f t="shared" si="40"/>
        <v>2406474.728</v>
      </c>
      <c r="J148" s="98">
        <f t="shared" si="40"/>
        <v>2406474.728</v>
      </c>
      <c r="K148" s="98">
        <f t="shared" si="40"/>
        <v>2406474.728</v>
      </c>
      <c r="L148" s="98">
        <f t="shared" si="40"/>
        <v>2406474.728</v>
      </c>
      <c r="M148" s="98">
        <f t="shared" si="40"/>
        <v>2406474.728</v>
      </c>
      <c r="N148" s="98">
        <f t="shared" si="40"/>
        <v>2406474.728</v>
      </c>
      <c r="O148" s="98">
        <f t="shared" si="40"/>
        <v>2406474.728</v>
      </c>
      <c r="P148" s="98">
        <f t="shared" si="40"/>
        <v>2406474.728</v>
      </c>
      <c r="Q148" s="98">
        <f t="shared" si="40"/>
        <v>2406474.728</v>
      </c>
      <c r="R148" s="98">
        <f t="shared" si="40"/>
        <v>2406474.728</v>
      </c>
      <c r="S148" s="98">
        <f t="shared" si="40"/>
        <v>2406474.728</v>
      </c>
      <c r="T148" s="98">
        <f t="shared" si="40"/>
        <v>2406474.728</v>
      </c>
      <c r="U148" s="98">
        <f t="shared" si="40"/>
        <v>2406474.728</v>
      </c>
      <c r="V148" s="124"/>
    </row>
    <row r="149" spans="1:22" ht="13.5">
      <c r="A149" s="124" t="s">
        <v>74</v>
      </c>
      <c r="B149" s="98">
        <f>IF($B$84=1,B104-B139+B154-B146+E62,B104-B139+B154+E62)</f>
        <v>2784938.728</v>
      </c>
      <c r="C149" s="98">
        <f aca="true" t="shared" si="41" ref="C149:U149">IF($B$84=1,IF(C106=$B$53,C$104-C$139+C$154-B$109-C$109-C$146,IF(AND(C106&lt;=$B$53,C106&lt;&gt;0),C$104-C$139+C$154-B$109-C$146,0)),IF(C106=$B$53,C$104-C$139+C$154-B$109-C$109,IF(AND(C106&lt;=$B$53,C106&lt;&gt;0),C$104-C$139+C$154-B$109,0)))</f>
        <v>2406474.728</v>
      </c>
      <c r="D149" s="98">
        <f t="shared" si="41"/>
        <v>2406474.728</v>
      </c>
      <c r="E149" s="98">
        <f t="shared" si="41"/>
        <v>2406474.728</v>
      </c>
      <c r="F149" s="98">
        <f t="shared" si="41"/>
        <v>2406474.728</v>
      </c>
      <c r="G149" s="98">
        <f t="shared" si="41"/>
        <v>2406474.728</v>
      </c>
      <c r="H149" s="98">
        <f t="shared" si="41"/>
        <v>2406474.728</v>
      </c>
      <c r="I149" s="98">
        <f t="shared" si="41"/>
        <v>2406474.728</v>
      </c>
      <c r="J149" s="98">
        <f t="shared" si="41"/>
        <v>2406474.728</v>
      </c>
      <c r="K149" s="98">
        <f t="shared" si="41"/>
        <v>2406474.728</v>
      </c>
      <c r="L149" s="98">
        <f t="shared" si="41"/>
        <v>2406474.728</v>
      </c>
      <c r="M149" s="98">
        <f t="shared" si="41"/>
        <v>2406474.728</v>
      </c>
      <c r="N149" s="98">
        <f t="shared" si="41"/>
        <v>2406474.728</v>
      </c>
      <c r="O149" s="98">
        <f t="shared" si="41"/>
        <v>2406474.728</v>
      </c>
      <c r="P149" s="98">
        <f t="shared" si="41"/>
        <v>2406474.728</v>
      </c>
      <c r="Q149" s="98">
        <f t="shared" si="41"/>
        <v>2406474.728</v>
      </c>
      <c r="R149" s="98">
        <f t="shared" si="41"/>
        <v>2406474.728</v>
      </c>
      <c r="S149" s="98">
        <f t="shared" si="41"/>
        <v>2406474.728</v>
      </c>
      <c r="T149" s="98">
        <f t="shared" si="41"/>
        <v>2406474.728</v>
      </c>
      <c r="U149" s="98">
        <f t="shared" si="41"/>
        <v>2028010.7280000001</v>
      </c>
      <c r="V149" s="124"/>
    </row>
    <row r="150" spans="1:22" ht="13.5">
      <c r="A150" s="124" t="s">
        <v>118</v>
      </c>
      <c r="B150" s="98">
        <f>B149</f>
        <v>2784938.728</v>
      </c>
      <c r="C150" s="98">
        <f aca="true" t="shared" si="42" ref="C150:U150">IF(AND(C103&lt;=$B$53,C103&lt;&gt;0),B150+C149,)</f>
        <v>5191413.456</v>
      </c>
      <c r="D150" s="98">
        <f t="shared" si="42"/>
        <v>7597888.184</v>
      </c>
      <c r="E150" s="98">
        <f t="shared" si="42"/>
        <v>10004362.912</v>
      </c>
      <c r="F150" s="98">
        <f t="shared" si="42"/>
        <v>12410837.64</v>
      </c>
      <c r="G150" s="98">
        <f t="shared" si="42"/>
        <v>14817312.368</v>
      </c>
      <c r="H150" s="98">
        <f t="shared" si="42"/>
        <v>17223787.096</v>
      </c>
      <c r="I150" s="98">
        <f t="shared" si="42"/>
        <v>19630261.824</v>
      </c>
      <c r="J150" s="98">
        <f t="shared" si="42"/>
        <v>22036736.552</v>
      </c>
      <c r="K150" s="98">
        <f t="shared" si="42"/>
        <v>24443211.28</v>
      </c>
      <c r="L150" s="98">
        <f t="shared" si="42"/>
        <v>26849686.008</v>
      </c>
      <c r="M150" s="98">
        <f t="shared" si="42"/>
        <v>29256160.736</v>
      </c>
      <c r="N150" s="98">
        <f t="shared" si="42"/>
        <v>31662635.464</v>
      </c>
      <c r="O150" s="98">
        <f t="shared" si="42"/>
        <v>34069110.192</v>
      </c>
      <c r="P150" s="98">
        <f t="shared" si="42"/>
        <v>36475584.92</v>
      </c>
      <c r="Q150" s="98">
        <f t="shared" si="42"/>
        <v>38882059.648</v>
      </c>
      <c r="R150" s="98">
        <f t="shared" si="42"/>
        <v>41288534.376</v>
      </c>
      <c r="S150" s="98">
        <f t="shared" si="42"/>
        <v>43695009.104</v>
      </c>
      <c r="T150" s="98">
        <f t="shared" si="42"/>
        <v>46101483.832</v>
      </c>
      <c r="U150" s="98">
        <f t="shared" si="42"/>
        <v>48129494.56</v>
      </c>
      <c r="V150" s="124"/>
    </row>
    <row r="151" spans="1:22" ht="13.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row>
    <row r="152" spans="1:22" ht="13.5">
      <c r="A152" s="124" t="s">
        <v>190</v>
      </c>
      <c r="B152" s="170">
        <v>0.014</v>
      </c>
      <c r="C152" s="82">
        <v>1500000</v>
      </c>
      <c r="D152" s="124"/>
      <c r="E152" s="124"/>
      <c r="F152" s="124"/>
      <c r="G152" s="124"/>
      <c r="H152" s="124"/>
      <c r="I152" s="124"/>
      <c r="J152" s="124"/>
      <c r="K152" s="194"/>
      <c r="L152" s="124"/>
      <c r="M152" s="124"/>
      <c r="N152" s="124"/>
      <c r="O152" s="124"/>
      <c r="P152" s="124"/>
      <c r="Q152" s="124"/>
      <c r="R152" s="124"/>
      <c r="S152" s="124"/>
      <c r="T152" s="124"/>
      <c r="U152" s="124"/>
      <c r="V152" s="124"/>
    </row>
    <row r="153" spans="2:22" ht="13.5">
      <c r="B153" s="16">
        <v>1</v>
      </c>
      <c r="C153" s="16">
        <f aca="true" t="shared" si="43" ref="C153:U153">IF(B153&lt;$B$53,B153+1,"")</f>
        <v>2</v>
      </c>
      <c r="D153" s="16">
        <f t="shared" si="43"/>
        <v>3</v>
      </c>
      <c r="E153" s="16">
        <f t="shared" si="43"/>
        <v>4</v>
      </c>
      <c r="F153" s="16">
        <f t="shared" si="43"/>
        <v>5</v>
      </c>
      <c r="G153" s="16">
        <f t="shared" si="43"/>
        <v>6</v>
      </c>
      <c r="H153" s="16">
        <f t="shared" si="43"/>
        <v>7</v>
      </c>
      <c r="I153" s="16">
        <f t="shared" si="43"/>
        <v>8</v>
      </c>
      <c r="J153" s="16">
        <f t="shared" si="43"/>
        <v>9</v>
      </c>
      <c r="K153" s="16">
        <f t="shared" si="43"/>
        <v>10</v>
      </c>
      <c r="L153" s="16">
        <f t="shared" si="43"/>
        <v>11</v>
      </c>
      <c r="M153" s="16">
        <f t="shared" si="43"/>
        <v>12</v>
      </c>
      <c r="N153" s="16">
        <f t="shared" si="43"/>
        <v>13</v>
      </c>
      <c r="O153" s="16">
        <f t="shared" si="43"/>
        <v>14</v>
      </c>
      <c r="P153" s="16">
        <f t="shared" si="43"/>
        <v>15</v>
      </c>
      <c r="Q153" s="16">
        <f t="shared" si="43"/>
        <v>16</v>
      </c>
      <c r="R153" s="16">
        <f t="shared" si="43"/>
        <v>17</v>
      </c>
      <c r="S153" s="16">
        <f t="shared" si="43"/>
        <v>18</v>
      </c>
      <c r="T153" s="16">
        <f t="shared" si="43"/>
        <v>19</v>
      </c>
      <c r="U153" s="16">
        <f t="shared" si="43"/>
        <v>20</v>
      </c>
      <c r="V153" s="16" t="s">
        <v>131</v>
      </c>
    </row>
    <row r="154" spans="1:23" ht="13.5">
      <c r="A154" s="124" t="s">
        <v>178</v>
      </c>
      <c r="B154" s="82">
        <f>IF($B$88=1,'減価償却費算定'!C23,IF($B$88=2,'減価償却費算定'!C36,IF($B$88=4,'減価償却費算定'!C50,'減価償却費算定'!C18)))</f>
        <v>0</v>
      </c>
      <c r="C154" s="82">
        <f>IF($B$88=1,'減価償却費算定'!D23,IF($B$88=2,'減価償却費算定'!D36,IF($B$88=4,'減価償却費算定'!D50,'減価償却費算定'!D18)))</f>
        <v>0</v>
      </c>
      <c r="D154" s="82">
        <f>IF($B$88=1,'減価償却費算定'!E23,IF($B$88=2,'減価償却費算定'!E36,IF($B$88=4,'減価償却費算定'!E50,'減価償却費算定'!E18)))</f>
        <v>0</v>
      </c>
      <c r="E154" s="82">
        <f>IF($B$88=1,'減価償却費算定'!F23,IF($B$88=2,'減価償却費算定'!F36,IF($B$88=4,'減価償却費算定'!F50,'減価償却費算定'!F18)))</f>
        <v>0</v>
      </c>
      <c r="F154" s="82">
        <f>IF($B$88=1,'減価償却費算定'!G23,IF($B$88=2,'減価償却費算定'!G36,IF($B$88=4,'減価償却費算定'!G50,'減価償却費算定'!G18)))</f>
        <v>0</v>
      </c>
      <c r="G154" s="82">
        <f>IF($B$88=1,'減価償却費算定'!H23,IF($B$88=2,'減価償却費算定'!H36,IF($B$88=4,'減価償却費算定'!H50,'減価償却費算定'!H18)))</f>
        <v>0</v>
      </c>
      <c r="H154" s="82">
        <f>IF($B$88=1,'減価償却費算定'!I23,IF($B$88=2,'減価償却費算定'!I36,IF($B$88=4,'減価償却費算定'!I50,'減価償却費算定'!I18)))</f>
        <v>0</v>
      </c>
      <c r="I154" s="82">
        <f>IF($B$88=1,'減価償却費算定'!J23,IF($B$88=2,'減価償却費算定'!J36,IF($B$88=4,'減価償却費算定'!J50,'減価償却費算定'!J18)))</f>
        <v>0</v>
      </c>
      <c r="J154" s="82">
        <f>IF($B$88=1,'減価償却費算定'!K23,IF($B$88=2,'減価償却費算定'!K36,IF($B$88=4,'減価償却費算定'!K50,'減価償却費算定'!K18)))</f>
        <v>0</v>
      </c>
      <c r="K154" s="82">
        <f>IF($B$88=1,'減価償却費算定'!L23,IF($B$88=2,'減価償却費算定'!L36,IF($B$88=4,'減価償却費算定'!L50,'減価償却費算定'!L18)))</f>
        <v>0</v>
      </c>
      <c r="L154" s="82">
        <f>IF($B$88=1,'減価償却費算定'!M23,IF($B$88=2,'減価償却費算定'!M36,IF($B$88=4,'減価償却費算定'!M50,'減価償却費算定'!M18)))</f>
        <v>0</v>
      </c>
      <c r="M154" s="82">
        <f>IF($B$88=1,'減価償却費算定'!N23,IF($B$88=2,'減価償却費算定'!N36,IF($B$88=4,'減価償却費算定'!N50,'減価償却費算定'!N18)))</f>
        <v>0</v>
      </c>
      <c r="N154" s="82">
        <f>IF($B$88=1,'減価償却費算定'!O23,IF($B$88=2,'減価償却費算定'!O36,IF($B$88=4,'減価償却費算定'!O50,'減価償却費算定'!O18)))</f>
        <v>0</v>
      </c>
      <c r="O154" s="82">
        <f>IF($B$88=1,'減価償却費算定'!P23,IF($B$88=2,'減価償却費算定'!P36,IF($B$88=4,'減価償却費算定'!P50,'減価償却費算定'!P18)))</f>
        <v>0</v>
      </c>
      <c r="P154" s="82">
        <f>IF($B$88=1,'減価償却費算定'!Q23,IF($B$88=2,'減価償却費算定'!Q36,IF($B$88=4,'減価償却費算定'!Q50,'減価償却費算定'!Q18)))</f>
        <v>0</v>
      </c>
      <c r="Q154" s="82">
        <f>IF($B$88=1,'減価償却費算定'!R23,IF($B$88=2,'減価償却費算定'!R36,IF($B$88=4,'減価償却費算定'!R50,'減価償却費算定'!R18)))</f>
        <v>0</v>
      </c>
      <c r="R154" s="82">
        <f>IF($B$88=1,'減価償却費算定'!S23,IF($B$88=2,'減価償却費算定'!S36,IF($B$88=4,'減価償却費算定'!S50,'減価償却費算定'!S18)))</f>
        <v>0</v>
      </c>
      <c r="S154" s="82">
        <f>IF($B$88=1,'減価償却費算定'!T23,IF($B$88=2,'減価償却費算定'!T36,IF($B$88=4,'減価償却費算定'!T50,'減価償却費算定'!T18)))</f>
        <v>0</v>
      </c>
      <c r="T154" s="82">
        <f>IF($B$88=1,'減価償却費算定'!U23,IF($B$88=2,'減価償却費算定'!U36,IF($B$88=4,'減価償却費算定'!U50,'減価償却費算定'!U18)))</f>
        <v>0</v>
      </c>
      <c r="U154" s="82">
        <f>IF($B$88=1,'減価償却費算定'!V23,IF($B$88=2,'減価償却費算定'!V36,IF($B$88=4,'減価償却費算定'!V50,'減価償却費算定'!V18)))</f>
        <v>0</v>
      </c>
      <c r="V154" s="98">
        <f>SUM(B154:U154)</f>
        <v>0</v>
      </c>
      <c r="W154" s="82">
        <f>IF($B$55=1,ROUNDDOWN($B$54,0),ROUNDDOWN($B$54*(1+$B$56/100),0))</f>
        <v>0</v>
      </c>
    </row>
    <row r="155" spans="1:22" ht="13.5">
      <c r="A155" s="124" t="s">
        <v>98</v>
      </c>
      <c r="B155" s="82">
        <v>0</v>
      </c>
      <c r="C155" s="82">
        <f aca="true" t="shared" si="44" ref="C155:U155">IF(C$157&lt;$C$152,0,ROUNDDOWN(C$157*$B$152,-2))</f>
        <v>0</v>
      </c>
      <c r="D155" s="82">
        <f t="shared" si="44"/>
        <v>0</v>
      </c>
      <c r="E155" s="82">
        <f t="shared" si="44"/>
        <v>0</v>
      </c>
      <c r="F155" s="82">
        <f t="shared" si="44"/>
        <v>0</v>
      </c>
      <c r="G155" s="82">
        <f t="shared" si="44"/>
        <v>0</v>
      </c>
      <c r="H155" s="82">
        <f t="shared" si="44"/>
        <v>0</v>
      </c>
      <c r="I155" s="82">
        <f t="shared" si="44"/>
        <v>0</v>
      </c>
      <c r="J155" s="82">
        <f t="shared" si="44"/>
        <v>0</v>
      </c>
      <c r="K155" s="82">
        <f t="shared" si="44"/>
        <v>0</v>
      </c>
      <c r="L155" s="82">
        <f t="shared" si="44"/>
        <v>0</v>
      </c>
      <c r="M155" s="82">
        <f t="shared" si="44"/>
        <v>0</v>
      </c>
      <c r="N155" s="82">
        <f t="shared" si="44"/>
        <v>0</v>
      </c>
      <c r="O155" s="82">
        <f t="shared" si="44"/>
        <v>0</v>
      </c>
      <c r="P155" s="82">
        <f t="shared" si="44"/>
        <v>0</v>
      </c>
      <c r="Q155" s="82">
        <f t="shared" si="44"/>
        <v>0</v>
      </c>
      <c r="R155" s="82">
        <f t="shared" si="44"/>
        <v>0</v>
      </c>
      <c r="S155" s="82">
        <f t="shared" si="44"/>
        <v>0</v>
      </c>
      <c r="T155" s="82">
        <f t="shared" si="44"/>
        <v>0</v>
      </c>
      <c r="U155" s="82">
        <f t="shared" si="44"/>
        <v>0</v>
      </c>
      <c r="V155" s="98">
        <f>SUM(B155:U155)</f>
        <v>0</v>
      </c>
    </row>
    <row r="156" spans="1:22" ht="13.5">
      <c r="A156" s="124" t="s">
        <v>66</v>
      </c>
      <c r="B156" s="82"/>
      <c r="C156" s="82">
        <f>IF($B$55=1,$B$54*(1-0.127/2),ROUNDDOWN($B$54*(1+$B$56/100),0)*(1-0.127/2))</f>
        <v>0</v>
      </c>
      <c r="D156" s="82">
        <f aca="true" t="shared" si="45" ref="D156:U156">IF(AND(D153&lt;=$B$53,D153&lt;&gt;0),C$156*(1-0.127),)</f>
        <v>0</v>
      </c>
      <c r="E156" s="82">
        <f t="shared" si="45"/>
        <v>0</v>
      </c>
      <c r="F156" s="82">
        <f t="shared" si="45"/>
        <v>0</v>
      </c>
      <c r="G156" s="82">
        <f t="shared" si="45"/>
        <v>0</v>
      </c>
      <c r="H156" s="82">
        <f t="shared" si="45"/>
        <v>0</v>
      </c>
      <c r="I156" s="82">
        <f t="shared" si="45"/>
        <v>0</v>
      </c>
      <c r="J156" s="82">
        <f t="shared" si="45"/>
        <v>0</v>
      </c>
      <c r="K156" s="82">
        <f t="shared" si="45"/>
        <v>0</v>
      </c>
      <c r="L156" s="82">
        <f t="shared" si="45"/>
        <v>0</v>
      </c>
      <c r="M156" s="82">
        <f t="shared" si="45"/>
        <v>0</v>
      </c>
      <c r="N156" s="82">
        <f t="shared" si="45"/>
        <v>0</v>
      </c>
      <c r="O156" s="82">
        <f t="shared" si="45"/>
        <v>0</v>
      </c>
      <c r="P156" s="82">
        <f t="shared" si="45"/>
        <v>0</v>
      </c>
      <c r="Q156" s="82">
        <f t="shared" si="45"/>
        <v>0</v>
      </c>
      <c r="R156" s="82">
        <f t="shared" si="45"/>
        <v>0</v>
      </c>
      <c r="S156" s="82">
        <f t="shared" si="45"/>
        <v>0</v>
      </c>
      <c r="T156" s="82">
        <f t="shared" si="45"/>
        <v>0</v>
      </c>
      <c r="U156" s="82">
        <f t="shared" si="45"/>
        <v>0</v>
      </c>
      <c r="V156" s="124"/>
    </row>
    <row r="157" spans="1:22" ht="13.5">
      <c r="A157" s="124" t="s">
        <v>133</v>
      </c>
      <c r="B157" s="82"/>
      <c r="C157" s="82">
        <f>ROUNDDOWN(IF($B$89=1,(C$156/3)*2,C$156),-3)</f>
        <v>0</v>
      </c>
      <c r="D157" s="82">
        <f>ROUNDDOWN(IF($B$89=1,(D$156/3)*2,D$156),-3)</f>
        <v>0</v>
      </c>
      <c r="E157" s="82">
        <f>ROUNDDOWN(IF($B$89=1,(E$156/3)*2,E$156),-3)</f>
        <v>0</v>
      </c>
      <c r="F157" s="82">
        <f aca="true" t="shared" si="46" ref="F157:U157">ROUNDDOWN(F$156,-3)</f>
        <v>0</v>
      </c>
      <c r="G157" s="82">
        <f t="shared" si="46"/>
        <v>0</v>
      </c>
      <c r="H157" s="82">
        <f t="shared" si="46"/>
        <v>0</v>
      </c>
      <c r="I157" s="82">
        <f t="shared" si="46"/>
        <v>0</v>
      </c>
      <c r="J157" s="82">
        <f t="shared" si="46"/>
        <v>0</v>
      </c>
      <c r="K157" s="82">
        <f t="shared" si="46"/>
        <v>0</v>
      </c>
      <c r="L157" s="82">
        <f t="shared" si="46"/>
        <v>0</v>
      </c>
      <c r="M157" s="82">
        <f t="shared" si="46"/>
        <v>0</v>
      </c>
      <c r="N157" s="82">
        <f t="shared" si="46"/>
        <v>0</v>
      </c>
      <c r="O157" s="82">
        <f t="shared" si="46"/>
        <v>0</v>
      </c>
      <c r="P157" s="82">
        <f t="shared" si="46"/>
        <v>0</v>
      </c>
      <c r="Q157" s="82">
        <f t="shared" si="46"/>
        <v>0</v>
      </c>
      <c r="R157" s="82">
        <f t="shared" si="46"/>
        <v>0</v>
      </c>
      <c r="S157" s="82">
        <f t="shared" si="46"/>
        <v>0</v>
      </c>
      <c r="T157" s="82">
        <f t="shared" si="46"/>
        <v>0</v>
      </c>
      <c r="U157" s="82">
        <f t="shared" si="46"/>
        <v>0</v>
      </c>
      <c r="V157" s="124"/>
    </row>
    <row r="158" ht="13.5"/>
    <row r="159" ht="12.75">
      <c r="A159" s="124" t="s">
        <v>172</v>
      </c>
    </row>
    <row r="160" spans="1:22" ht="12.75">
      <c r="A160" s="124" t="s">
        <v>214</v>
      </c>
      <c r="B160" s="98"/>
      <c r="C160" s="16">
        <v>1</v>
      </c>
      <c r="D160" s="16">
        <v>2</v>
      </c>
      <c r="E160" s="16">
        <v>3</v>
      </c>
      <c r="F160" s="16">
        <v>4</v>
      </c>
      <c r="G160" s="16">
        <v>5</v>
      </c>
      <c r="H160" s="16">
        <v>6</v>
      </c>
      <c r="I160" s="16">
        <v>7</v>
      </c>
      <c r="J160" s="16">
        <v>8</v>
      </c>
      <c r="K160" s="16">
        <v>9</v>
      </c>
      <c r="L160" s="16">
        <v>10</v>
      </c>
      <c r="M160" s="16">
        <v>11</v>
      </c>
      <c r="N160" s="16">
        <v>12</v>
      </c>
      <c r="O160" s="16">
        <v>13</v>
      </c>
      <c r="P160" s="16">
        <v>14</v>
      </c>
      <c r="Q160" s="16">
        <v>15</v>
      </c>
      <c r="R160" s="16">
        <v>16</v>
      </c>
      <c r="S160" s="16">
        <v>17</v>
      </c>
      <c r="T160" s="16">
        <v>18</v>
      </c>
      <c r="U160" s="16">
        <v>19</v>
      </c>
      <c r="V160" s="16">
        <v>20</v>
      </c>
    </row>
    <row r="161" spans="1:23" ht="12.75">
      <c r="A161" s="124" t="s">
        <v>75</v>
      </c>
      <c r="B161" s="98">
        <f>ROUNDDOWN(-$B$136,-3)</f>
        <v>0</v>
      </c>
      <c r="C161" s="98">
        <f aca="true" t="shared" si="47" ref="C161:V161">B$149</f>
        <v>2784938.728</v>
      </c>
      <c r="D161" s="98">
        <f t="shared" si="47"/>
        <v>2406474.728</v>
      </c>
      <c r="E161" s="98">
        <f t="shared" si="47"/>
        <v>2406474.728</v>
      </c>
      <c r="F161" s="98">
        <f t="shared" si="47"/>
        <v>2406474.728</v>
      </c>
      <c r="G161" s="98">
        <f t="shared" si="47"/>
        <v>2406474.728</v>
      </c>
      <c r="H161" s="98">
        <f t="shared" si="47"/>
        <v>2406474.728</v>
      </c>
      <c r="I161" s="98">
        <f t="shared" si="47"/>
        <v>2406474.728</v>
      </c>
      <c r="J161" s="98">
        <f t="shared" si="47"/>
        <v>2406474.728</v>
      </c>
      <c r="K161" s="98">
        <f t="shared" si="47"/>
        <v>2406474.728</v>
      </c>
      <c r="L161" s="98">
        <f t="shared" si="47"/>
        <v>2406474.728</v>
      </c>
      <c r="M161" s="98">
        <f t="shared" si="47"/>
        <v>2406474.728</v>
      </c>
      <c r="N161" s="98">
        <f t="shared" si="47"/>
        <v>2406474.728</v>
      </c>
      <c r="O161" s="98">
        <f t="shared" si="47"/>
        <v>2406474.728</v>
      </c>
      <c r="P161" s="98">
        <f t="shared" si="47"/>
        <v>2406474.728</v>
      </c>
      <c r="Q161" s="98">
        <f t="shared" si="47"/>
        <v>2406474.728</v>
      </c>
      <c r="R161" s="98">
        <f t="shared" si="47"/>
        <v>2406474.728</v>
      </c>
      <c r="S161" s="98">
        <f t="shared" si="47"/>
        <v>2406474.728</v>
      </c>
      <c r="T161" s="98">
        <f t="shared" si="47"/>
        <v>2406474.728</v>
      </c>
      <c r="U161" s="98">
        <f t="shared" si="47"/>
        <v>2406474.728</v>
      </c>
      <c r="V161" s="98">
        <f t="shared" si="47"/>
        <v>2028010.7280000001</v>
      </c>
      <c r="W161" s="98">
        <f>SUM(B161:V161)</f>
        <v>48129494.56</v>
      </c>
    </row>
    <row r="162" spans="1:23" ht="12.75">
      <c r="A162" s="124" t="s">
        <v>30</v>
      </c>
      <c r="B162" s="108">
        <f>IF(ISERROR(IRR($B$161:$V$161,)),"",IRR($B$161:$V$161,))</f>
      </c>
      <c r="C162" s="2" t="s">
        <v>196</v>
      </c>
      <c r="D162" s="128"/>
      <c r="E162" s="128"/>
      <c r="F162" s="128"/>
      <c r="G162" s="128"/>
      <c r="H162" s="128"/>
      <c r="I162" s="128"/>
      <c r="J162" s="128"/>
      <c r="K162" s="128"/>
      <c r="L162" s="128"/>
      <c r="M162" s="128"/>
      <c r="N162" s="128"/>
      <c r="O162" s="128"/>
      <c r="P162" s="128"/>
      <c r="Q162" s="128"/>
      <c r="R162" s="128"/>
      <c r="S162" s="128"/>
      <c r="T162" s="128"/>
      <c r="U162" s="128"/>
      <c r="V162" s="128"/>
      <c r="W162" s="128"/>
    </row>
    <row r="165" spans="1:2" ht="12.75">
      <c r="A165" s="183" t="s">
        <v>232</v>
      </c>
      <c r="B165" s="124" t="s">
        <v>164</v>
      </c>
    </row>
    <row r="166" spans="1:2" ht="12.75">
      <c r="A166" s="183" t="s">
        <v>3</v>
      </c>
      <c r="B166" s="124" t="s">
        <v>195</v>
      </c>
    </row>
    <row r="167" spans="1:12" ht="12.75">
      <c r="A167" s="183" t="s">
        <v>115</v>
      </c>
      <c r="B167" s="124" t="s">
        <v>148</v>
      </c>
      <c r="I167" s="197"/>
      <c r="L167" s="197"/>
    </row>
    <row r="168" spans="1:2" ht="12.75">
      <c r="A168" s="124" t="s">
        <v>221</v>
      </c>
      <c r="B168" s="158" t="s">
        <v>254</v>
      </c>
    </row>
    <row r="169" ht="12.75">
      <c r="A169" s="124"/>
    </row>
    <row r="171" ht="12.75">
      <c r="B171" s="183" t="s">
        <v>293</v>
      </c>
    </row>
    <row r="172" ht="12.75">
      <c r="B172" s="47" t="s">
        <v>267</v>
      </c>
    </row>
    <row r="173" ht="12.75">
      <c r="B173" s="183" t="s">
        <v>159</v>
      </c>
    </row>
    <row r="174" ht="12.75">
      <c r="B174" s="183" t="s">
        <v>273</v>
      </c>
    </row>
    <row r="175" ht="12.75">
      <c r="B175" s="197" t="s">
        <v>198</v>
      </c>
    </row>
    <row r="177" ht="12.75">
      <c r="B177" s="183" t="s">
        <v>302</v>
      </c>
    </row>
    <row r="178" ht="12.75">
      <c r="B178" s="183" t="s">
        <v>151</v>
      </c>
    </row>
    <row r="179" ht="12.75">
      <c r="B179" s="183" t="s">
        <v>282</v>
      </c>
    </row>
    <row r="180" ht="12.75">
      <c r="B180" s="183" t="s">
        <v>217</v>
      </c>
    </row>
    <row r="181" ht="12.75">
      <c r="B181" s="183" t="s">
        <v>278</v>
      </c>
    </row>
    <row r="182" ht="12.75">
      <c r="B182" s="183" t="s">
        <v>83</v>
      </c>
    </row>
    <row r="183" ht="12.75">
      <c r="B183" s="183" t="s">
        <v>65</v>
      </c>
    </row>
    <row r="184" ht="12.75">
      <c r="B184" s="183" t="s">
        <v>180</v>
      </c>
    </row>
    <row r="186" ht="12.75">
      <c r="B186" s="183" t="s">
        <v>330</v>
      </c>
    </row>
    <row r="187" ht="12.75">
      <c r="B187" s="183" t="s">
        <v>294</v>
      </c>
    </row>
    <row r="188" ht="12.75">
      <c r="B188" s="183" t="s">
        <v>333</v>
      </c>
    </row>
    <row r="189" ht="12.75">
      <c r="B189" s="183" t="s">
        <v>213</v>
      </c>
    </row>
    <row r="190" ht="12.75">
      <c r="B190" s="183" t="s">
        <v>234</v>
      </c>
    </row>
    <row r="191" ht="12.75">
      <c r="B191" s="183" t="s">
        <v>179</v>
      </c>
    </row>
    <row r="193" ht="12.75">
      <c r="B193" s="183" t="s">
        <v>117</v>
      </c>
    </row>
    <row r="194" ht="12.75">
      <c r="B194" s="183" t="s">
        <v>236</v>
      </c>
    </row>
    <row r="195" ht="12.75">
      <c r="B195" s="183" t="s">
        <v>303</v>
      </c>
    </row>
    <row r="196" ht="12.75">
      <c r="B196" s="183" t="s">
        <v>268</v>
      </c>
    </row>
    <row r="198" ht="12.75">
      <c r="B198" s="183" t="s">
        <v>283</v>
      </c>
    </row>
    <row r="199" ht="12.75">
      <c r="B199" s="183" t="s">
        <v>87</v>
      </c>
    </row>
    <row r="200" ht="12.75">
      <c r="B200" s="183" t="s">
        <v>96</v>
      </c>
    </row>
    <row r="201" ht="12.75">
      <c r="B201" s="183" t="s">
        <v>88</v>
      </c>
    </row>
    <row r="203" ht="12.75">
      <c r="B203" s="183" t="s">
        <v>173</v>
      </c>
    </row>
    <row r="204" ht="12.75">
      <c r="B204" s="183" t="s">
        <v>116</v>
      </c>
    </row>
    <row r="205" ht="12.75">
      <c r="B205" s="183" t="s">
        <v>130</v>
      </c>
    </row>
    <row r="206" ht="12.75">
      <c r="B206" s="183" t="s">
        <v>218</v>
      </c>
    </row>
    <row r="208" spans="2:3" ht="12.75">
      <c r="B208" s="37"/>
      <c r="C208" s="183" t="s">
        <v>85</v>
      </c>
    </row>
    <row r="213" ht="12.75">
      <c r="B213" s="187"/>
    </row>
  </sheetData>
  <sheetProtection/>
  <printOptions/>
  <pageMargins left="0" right="0" top="1.141732283464567" bottom="1.141732283464567" header="0.31496062992125984" footer="0.31496062992125984"/>
  <pageSetup fitToHeight="0" fitToWidth="1" horizontalDpi="600" verticalDpi="600" orientation="landscape" paperSize="9" scale="42" r:id="rId3"/>
  <legacyDrawing r:id="rId2"/>
</worksheet>
</file>

<file path=xl/worksheets/sheet6.xml><?xml version="1.0" encoding="utf-8"?>
<worksheet xmlns="http://schemas.openxmlformats.org/spreadsheetml/2006/main" xmlns:r="http://schemas.openxmlformats.org/officeDocument/2006/relationships">
  <dimension ref="A1:AB120"/>
  <sheetViews>
    <sheetView zoomScale="90" zoomScaleNormal="90" zoomScalePageLayoutView="0" workbookViewId="0" topLeftCell="A1">
      <selection activeCell="A1" sqref="A1"/>
    </sheetView>
  </sheetViews>
  <sheetFormatPr defaultColWidth="9.421875" defaultRowHeight="12.75"/>
  <cols>
    <col min="1" max="1" width="22.28125" style="0" bestFit="1" customWidth="1"/>
    <col min="2" max="4" width="11.57421875" style="0" customWidth="1"/>
    <col min="5" max="6" width="10.57421875" style="0" bestFit="1" customWidth="1"/>
    <col min="7" max="8" width="10.8515625" style="0" bestFit="1" customWidth="1"/>
    <col min="9" max="10" width="10.57421875" style="0" bestFit="1" customWidth="1"/>
    <col min="11" max="13" width="10.8515625" style="0" bestFit="1" customWidth="1"/>
    <col min="14" max="14" width="11.7109375" style="0" bestFit="1" customWidth="1"/>
    <col min="15" max="16" width="9.421875" style="0" customWidth="1"/>
    <col min="17" max="25" width="9.7109375" style="0" bestFit="1" customWidth="1"/>
    <col min="26" max="28" width="10.7109375" style="0" bestFit="1" customWidth="1"/>
  </cols>
  <sheetData>
    <row r="1" spans="1:14" ht="15.75">
      <c r="A1" s="23" t="s">
        <v>39</v>
      </c>
      <c r="B1" s="19">
        <f>IF(Datasheet!$B$51="",Datasheet!$B$2,Datasheet!$B$51)</f>
        <v>44697</v>
      </c>
      <c r="C1" s="176"/>
      <c r="D1" t="s">
        <v>249</v>
      </c>
      <c r="E1" t="s">
        <v>307</v>
      </c>
      <c r="F1" s="102"/>
      <c r="G1" s="102" t="s">
        <v>260</v>
      </c>
      <c r="H1" s="102"/>
      <c r="I1" s="102"/>
      <c r="J1" s="102"/>
      <c r="K1" s="102"/>
      <c r="L1" s="102"/>
      <c r="M1" s="102"/>
      <c r="N1" s="102"/>
    </row>
    <row r="2" spans="1:14" ht="15.75">
      <c r="A2" s="154" t="s">
        <v>123</v>
      </c>
      <c r="B2" s="154">
        <f>IF(Datasheet!$B$52=60.5,Datasheet!$B$52/1.1,IF(Datasheet!$B$52=59.4,Datasheet!$B$52/1.08,IF(OR(Datasheet!$B$52=57.75,Datasheet!$B$52=57.8),Datasheet!$B$52/1.05,Datasheet!$B$52)))</f>
        <v>55</v>
      </c>
      <c r="C2" t="s">
        <v>103</v>
      </c>
      <c r="D2" t="s">
        <v>19</v>
      </c>
      <c r="E2">
        <v>55</v>
      </c>
      <c r="F2" s="102"/>
      <c r="G2" s="102" t="s">
        <v>210</v>
      </c>
      <c r="J2" s="102"/>
      <c r="K2" s="102"/>
      <c r="L2" s="102"/>
      <c r="M2" s="102"/>
      <c r="N2" s="102"/>
    </row>
    <row r="3" spans="1:14" ht="15.75">
      <c r="A3" s="154" t="s">
        <v>29</v>
      </c>
      <c r="B3" s="154">
        <f>Datasheet!$B$53</f>
        <v>20</v>
      </c>
      <c r="C3" t="s">
        <v>28</v>
      </c>
      <c r="D3" t="s">
        <v>94</v>
      </c>
      <c r="E3" s="105">
        <f>E2*1.05</f>
        <v>57.75</v>
      </c>
      <c r="F3" s="102"/>
      <c r="G3" s="102"/>
      <c r="H3" s="102"/>
      <c r="I3" s="102"/>
      <c r="J3" s="102"/>
      <c r="K3" s="102"/>
      <c r="L3" s="102"/>
      <c r="M3" s="102"/>
      <c r="N3" s="102"/>
    </row>
    <row r="4" spans="1:14" ht="15.75">
      <c r="A4" s="154" t="s">
        <v>153</v>
      </c>
      <c r="B4" s="50">
        <f>Datasheet!$B$56</f>
        <v>10</v>
      </c>
      <c r="C4" t="s">
        <v>53</v>
      </c>
      <c r="D4" t="s">
        <v>308</v>
      </c>
      <c r="E4" s="105">
        <f>E2*1.08</f>
        <v>59.400000000000006</v>
      </c>
      <c r="F4" s="102"/>
      <c r="G4" s="102" t="s">
        <v>61</v>
      </c>
      <c r="H4" s="102">
        <v>57.75</v>
      </c>
      <c r="I4" s="102">
        <v>59.4</v>
      </c>
      <c r="J4" s="102">
        <v>60.5</v>
      </c>
      <c r="K4" s="102"/>
      <c r="L4" s="102"/>
      <c r="M4" s="20">
        <f>DATE(YEAR(B3),MONTH(B3)+1,DAY(B3))</f>
        <v>51</v>
      </c>
      <c r="N4" s="102"/>
    </row>
    <row r="5" spans="1:14" ht="15.75">
      <c r="A5" s="154"/>
      <c r="B5" s="50"/>
      <c r="D5" t="s">
        <v>311</v>
      </c>
      <c r="E5" s="105">
        <f>E2*1.1</f>
        <v>60.50000000000001</v>
      </c>
      <c r="F5" s="102"/>
      <c r="G5" s="102" t="s">
        <v>59</v>
      </c>
      <c r="H5" s="102">
        <f>H4/1.05</f>
        <v>55</v>
      </c>
      <c r="I5" s="102">
        <f>I4/1.08</f>
        <v>54.99999999999999</v>
      </c>
      <c r="J5" s="102">
        <f>J4/1.1</f>
        <v>54.99999999999999</v>
      </c>
      <c r="K5" s="102"/>
      <c r="L5" s="102"/>
      <c r="M5" s="102"/>
      <c r="N5" s="102"/>
    </row>
    <row r="6" spans="2:14" ht="15.75">
      <c r="B6" s="76"/>
      <c r="F6" s="102"/>
      <c r="G6" s="102"/>
      <c r="H6" s="102"/>
      <c r="I6" s="102"/>
      <c r="J6" s="102"/>
      <c r="K6" s="102"/>
      <c r="L6" s="102"/>
      <c r="M6" s="102"/>
      <c r="N6" s="102"/>
    </row>
    <row r="7" spans="2:28" ht="15.75">
      <c r="B7" s="107">
        <v>1</v>
      </c>
      <c r="C7" s="107">
        <v>2</v>
      </c>
      <c r="D7" s="107">
        <v>3</v>
      </c>
      <c r="E7" s="107">
        <v>4</v>
      </c>
      <c r="F7" s="107">
        <v>5</v>
      </c>
      <c r="G7" s="107">
        <v>6</v>
      </c>
      <c r="H7" s="107">
        <v>7</v>
      </c>
      <c r="I7" s="107">
        <v>8</v>
      </c>
      <c r="J7" s="107">
        <v>9</v>
      </c>
      <c r="K7" s="107">
        <v>10</v>
      </c>
      <c r="L7" s="107">
        <v>11</v>
      </c>
      <c r="M7" s="107">
        <v>12</v>
      </c>
      <c r="N7" s="109" t="s">
        <v>161</v>
      </c>
      <c r="P7" s="102"/>
      <c r="Q7" s="102"/>
      <c r="R7" s="102"/>
      <c r="S7" s="102"/>
      <c r="T7" s="102"/>
      <c r="U7" s="102"/>
      <c r="V7" s="102"/>
      <c r="W7" s="102"/>
      <c r="X7" s="102"/>
      <c r="Y7" s="102"/>
      <c r="Z7" s="102"/>
      <c r="AA7" s="102"/>
      <c r="AB7" s="102"/>
    </row>
    <row r="8" spans="1:28" ht="15.75">
      <c r="A8" t="s">
        <v>37</v>
      </c>
      <c r="B8" s="141">
        <f>Datasheet!B43</f>
        <v>9450.65</v>
      </c>
      <c r="C8" s="141">
        <f>Datasheet!C43</f>
        <v>7853.19</v>
      </c>
      <c r="D8" s="141">
        <f>Datasheet!D43</f>
        <v>7560.52011008732</v>
      </c>
      <c r="E8" s="141">
        <f>Datasheet!E43</f>
        <v>4389.98</v>
      </c>
      <c r="F8" s="141">
        <f>Datasheet!F43</f>
        <v>4536.31</v>
      </c>
      <c r="G8" s="141">
        <f>Datasheet!G43</f>
        <v>3658.32</v>
      </c>
      <c r="H8" s="141">
        <f>Datasheet!H43</f>
        <v>3024.21</v>
      </c>
      <c r="I8" s="141">
        <f>Datasheet!I43</f>
        <v>3024.21</v>
      </c>
      <c r="J8" s="141">
        <f>Datasheet!J43</f>
        <v>4389.98</v>
      </c>
      <c r="K8" s="141">
        <f>Datasheet!K43</f>
        <v>6048.42</v>
      </c>
      <c r="L8" s="141">
        <f>Datasheet!L43</f>
        <v>7316.63236460063</v>
      </c>
      <c r="M8" s="141">
        <f>Datasheet!M43</f>
        <v>7560.52011008732</v>
      </c>
      <c r="N8" s="141">
        <f>SUM(B8:M8)</f>
        <v>68812.94258477526</v>
      </c>
      <c r="P8" s="102"/>
      <c r="Q8" s="102"/>
      <c r="R8" s="102"/>
      <c r="S8" s="102"/>
      <c r="T8" s="102"/>
      <c r="U8" s="102"/>
      <c r="V8" s="102"/>
      <c r="W8" s="102"/>
      <c r="X8" s="102"/>
      <c r="Y8" s="102"/>
      <c r="Z8" s="102"/>
      <c r="AA8" s="102"/>
      <c r="AB8" s="102"/>
    </row>
    <row r="9" spans="1:28" ht="15.75">
      <c r="A9" s="154"/>
      <c r="B9" s="171">
        <v>1</v>
      </c>
      <c r="C9" s="171">
        <v>2</v>
      </c>
      <c r="D9" s="171">
        <v>3</v>
      </c>
      <c r="E9" s="171">
        <v>4</v>
      </c>
      <c r="F9" s="171">
        <v>5</v>
      </c>
      <c r="G9" s="171">
        <v>6</v>
      </c>
      <c r="H9" s="171">
        <v>7</v>
      </c>
      <c r="I9" s="171">
        <v>8</v>
      </c>
      <c r="J9" s="171">
        <v>9</v>
      </c>
      <c r="K9" s="171">
        <v>10</v>
      </c>
      <c r="L9" s="171">
        <v>11</v>
      </c>
      <c r="M9" s="171">
        <v>12</v>
      </c>
      <c r="N9" s="171">
        <v>13</v>
      </c>
      <c r="O9" s="171">
        <v>14</v>
      </c>
      <c r="P9" s="171">
        <v>15</v>
      </c>
      <c r="Q9" s="171">
        <v>16</v>
      </c>
      <c r="R9" s="171">
        <v>17</v>
      </c>
      <c r="S9" s="171">
        <v>18</v>
      </c>
      <c r="T9" s="171">
        <v>19</v>
      </c>
      <c r="U9" s="171">
        <v>20</v>
      </c>
      <c r="V9" s="46"/>
      <c r="W9" s="102"/>
      <c r="X9" s="102"/>
      <c r="Y9" s="102"/>
      <c r="Z9" s="102"/>
      <c r="AA9" s="102"/>
      <c r="AB9" s="102"/>
    </row>
    <row r="10" spans="1:28" ht="15.75">
      <c r="A10" s="154" t="s">
        <v>238</v>
      </c>
      <c r="B10" s="50">
        <f>Datasheet!B$97</f>
        <v>0</v>
      </c>
      <c r="C10" s="50">
        <f>Datasheet!C$97</f>
        <v>0</v>
      </c>
      <c r="D10" s="50">
        <f>Datasheet!D$97</f>
        <v>0</v>
      </c>
      <c r="E10" s="50">
        <f>Datasheet!E$97</f>
        <v>0</v>
      </c>
      <c r="F10" s="50">
        <f>Datasheet!F$97</f>
        <v>0</v>
      </c>
      <c r="G10" s="50">
        <f>Datasheet!G$97</f>
        <v>0</v>
      </c>
      <c r="H10" s="50">
        <f>Datasheet!H$97</f>
        <v>0</v>
      </c>
      <c r="I10" s="50">
        <f>Datasheet!I$97</f>
        <v>0</v>
      </c>
      <c r="J10" s="50">
        <f>Datasheet!J$97</f>
        <v>0</v>
      </c>
      <c r="K10" s="50">
        <f>Datasheet!K$97</f>
        <v>0</v>
      </c>
      <c r="L10" s="50">
        <f>Datasheet!L$97</f>
        <v>0</v>
      </c>
      <c r="M10" s="50">
        <f>Datasheet!M$97</f>
        <v>0</v>
      </c>
      <c r="N10" s="50">
        <f>Datasheet!N$97</f>
        <v>0</v>
      </c>
      <c r="O10" s="50">
        <f>Datasheet!O$97</f>
        <v>0</v>
      </c>
      <c r="P10" s="50">
        <f>Datasheet!P$97</f>
        <v>0</v>
      </c>
      <c r="Q10" s="50">
        <f>Datasheet!Q$97</f>
        <v>0</v>
      </c>
      <c r="R10" s="50">
        <f>Datasheet!R$97</f>
        <v>0</v>
      </c>
      <c r="S10" s="50">
        <f>Datasheet!S$97</f>
        <v>0</v>
      </c>
      <c r="T10" s="50">
        <f>Datasheet!T$97</f>
        <v>0</v>
      </c>
      <c r="U10" s="50">
        <f>Datasheet!U$97</f>
        <v>0</v>
      </c>
      <c r="V10" s="41"/>
      <c r="W10" s="102"/>
      <c r="X10" s="102"/>
      <c r="Y10" s="102"/>
      <c r="Z10" s="102"/>
      <c r="AA10" s="102"/>
      <c r="AB10" s="102"/>
    </row>
    <row r="11" spans="1:28" ht="15.75">
      <c r="A11" s="154" t="s">
        <v>261</v>
      </c>
      <c r="B11" s="49">
        <f>DATE(YEAR($B$1),MONTH($B$1),1)</f>
        <v>44682</v>
      </c>
      <c r="C11" s="49">
        <f aca="true" t="shared" si="0" ref="C11:M11">DATE(YEAR(B11),MONTH(B11)+1,DAY(B11))</f>
        <v>44713</v>
      </c>
      <c r="D11" s="49">
        <f t="shared" si="0"/>
        <v>44743</v>
      </c>
      <c r="E11" s="49">
        <f t="shared" si="0"/>
        <v>44774</v>
      </c>
      <c r="F11" s="49">
        <f t="shared" si="0"/>
        <v>44805</v>
      </c>
      <c r="G11" s="49">
        <f t="shared" si="0"/>
        <v>44835</v>
      </c>
      <c r="H11" s="49">
        <f t="shared" si="0"/>
        <v>44866</v>
      </c>
      <c r="I11" s="49">
        <f t="shared" si="0"/>
        <v>44896</v>
      </c>
      <c r="J11" s="49">
        <f t="shared" si="0"/>
        <v>44927</v>
      </c>
      <c r="K11" s="49">
        <f t="shared" si="0"/>
        <v>44958</v>
      </c>
      <c r="L11" s="49">
        <f t="shared" si="0"/>
        <v>44986</v>
      </c>
      <c r="M11" s="49">
        <f t="shared" si="0"/>
        <v>45017</v>
      </c>
      <c r="P11" s="102"/>
      <c r="Q11" s="102"/>
      <c r="R11" s="102"/>
      <c r="S11" s="102"/>
      <c r="T11" s="102"/>
      <c r="U11" s="102"/>
      <c r="V11" s="102"/>
      <c r="W11" s="102"/>
      <c r="X11" s="102"/>
      <c r="Y11" s="102"/>
      <c r="Z11" s="102"/>
      <c r="AA11" s="102"/>
      <c r="AB11" s="102"/>
    </row>
    <row r="12" spans="1:28" ht="15.75">
      <c r="A12" s="154" t="s">
        <v>306</v>
      </c>
      <c r="B12" s="107">
        <f aca="true" t="shared" si="1" ref="B12:M12">MONTH(B11)</f>
        <v>5</v>
      </c>
      <c r="C12" s="107">
        <f t="shared" si="1"/>
        <v>6</v>
      </c>
      <c r="D12" s="107">
        <f t="shared" si="1"/>
        <v>7</v>
      </c>
      <c r="E12" s="107">
        <f t="shared" si="1"/>
        <v>8</v>
      </c>
      <c r="F12" s="107">
        <f t="shared" si="1"/>
        <v>9</v>
      </c>
      <c r="G12" s="107">
        <f t="shared" si="1"/>
        <v>10</v>
      </c>
      <c r="H12" s="107">
        <f t="shared" si="1"/>
        <v>11</v>
      </c>
      <c r="I12" s="107">
        <f t="shared" si="1"/>
        <v>12</v>
      </c>
      <c r="J12" s="107">
        <f t="shared" si="1"/>
        <v>1</v>
      </c>
      <c r="K12" s="107">
        <f t="shared" si="1"/>
        <v>2</v>
      </c>
      <c r="L12" s="107">
        <f t="shared" si="1"/>
        <v>3</v>
      </c>
      <c r="M12" s="107">
        <f t="shared" si="1"/>
        <v>4</v>
      </c>
      <c r="N12" s="109" t="s">
        <v>110</v>
      </c>
      <c r="P12" s="102"/>
      <c r="Q12" s="102"/>
      <c r="R12" s="102"/>
      <c r="S12" s="102"/>
      <c r="T12" s="102"/>
      <c r="U12" s="102"/>
      <c r="V12" s="102"/>
      <c r="W12" s="102"/>
      <c r="X12" s="102"/>
      <c r="Y12" s="102"/>
      <c r="Z12" s="102"/>
      <c r="AA12" s="102"/>
      <c r="AB12" s="102"/>
    </row>
    <row r="13" spans="1:28" ht="15.75">
      <c r="A13" s="137">
        <v>1</v>
      </c>
      <c r="B13" s="190">
        <f aca="true" t="shared" si="2" ref="B13:M13">HLOOKUP(B$12,$B$7:$M$8,2,FALSE)</f>
        <v>4536.31</v>
      </c>
      <c r="C13" s="190">
        <f t="shared" si="2"/>
        <v>3658.32</v>
      </c>
      <c r="D13" s="190">
        <f t="shared" si="2"/>
        <v>3024.21</v>
      </c>
      <c r="E13" s="190">
        <f t="shared" si="2"/>
        <v>3024.21</v>
      </c>
      <c r="F13" s="190">
        <f t="shared" si="2"/>
        <v>4389.98</v>
      </c>
      <c r="G13" s="190">
        <f t="shared" si="2"/>
        <v>6048.42</v>
      </c>
      <c r="H13" s="190">
        <f t="shared" si="2"/>
        <v>7316.63236460063</v>
      </c>
      <c r="I13" s="190">
        <f t="shared" si="2"/>
        <v>7560.52011008732</v>
      </c>
      <c r="J13" s="190">
        <f t="shared" si="2"/>
        <v>9450.65</v>
      </c>
      <c r="K13" s="190">
        <f t="shared" si="2"/>
        <v>7853.19</v>
      </c>
      <c r="L13" s="190">
        <f t="shared" si="2"/>
        <v>7560.52011008732</v>
      </c>
      <c r="M13" s="190">
        <f t="shared" si="2"/>
        <v>4389.98</v>
      </c>
      <c r="N13" s="190">
        <f aca="true" t="shared" si="3" ref="N13:N32">SUM(B13:M13)</f>
        <v>68812.94258477527</v>
      </c>
      <c r="P13" s="102"/>
      <c r="Q13" s="102"/>
      <c r="R13" s="102"/>
      <c r="S13" s="102"/>
      <c r="T13" s="102"/>
      <c r="U13" s="102"/>
      <c r="V13" s="102"/>
      <c r="W13" s="102"/>
      <c r="X13" s="102"/>
      <c r="Y13" s="102"/>
      <c r="Z13" s="102"/>
      <c r="AA13" s="102"/>
      <c r="AB13" s="102"/>
    </row>
    <row r="14" spans="1:28" ht="15.75">
      <c r="A14" s="137">
        <f aca="true" t="shared" si="4" ref="A14:A32">IF(A13&lt;$B$3,A13+1,"")</f>
        <v>2</v>
      </c>
      <c r="B14" s="190">
        <f aca="true" t="shared" si="5" ref="B14:M14">IF($A14="","",B13*(100-$C$10)/100)</f>
        <v>4536.31</v>
      </c>
      <c r="C14" s="190">
        <f t="shared" si="5"/>
        <v>3658.32</v>
      </c>
      <c r="D14" s="190">
        <f t="shared" si="5"/>
        <v>3024.21</v>
      </c>
      <c r="E14" s="190">
        <f t="shared" si="5"/>
        <v>3024.21</v>
      </c>
      <c r="F14" s="190">
        <f t="shared" si="5"/>
        <v>4389.98</v>
      </c>
      <c r="G14" s="190">
        <f t="shared" si="5"/>
        <v>6048.42</v>
      </c>
      <c r="H14" s="190">
        <f t="shared" si="5"/>
        <v>7316.63236460063</v>
      </c>
      <c r="I14" s="190">
        <f t="shared" si="5"/>
        <v>7560.52011008732</v>
      </c>
      <c r="J14" s="190">
        <f t="shared" si="5"/>
        <v>9450.65</v>
      </c>
      <c r="K14" s="190">
        <f t="shared" si="5"/>
        <v>7853.19</v>
      </c>
      <c r="L14" s="190">
        <f t="shared" si="5"/>
        <v>7560.52011008732</v>
      </c>
      <c r="M14" s="190">
        <f t="shared" si="5"/>
        <v>4389.98</v>
      </c>
      <c r="N14" s="190">
        <f t="shared" si="3"/>
        <v>68812.94258477527</v>
      </c>
      <c r="P14" s="102"/>
      <c r="Q14" s="102"/>
      <c r="R14" s="102"/>
      <c r="S14" s="102"/>
      <c r="T14" s="102"/>
      <c r="U14" s="102"/>
      <c r="V14" s="102"/>
      <c r="W14" s="102"/>
      <c r="X14" s="102"/>
      <c r="Y14" s="102"/>
      <c r="Z14" s="102"/>
      <c r="AA14" s="102"/>
      <c r="AB14" s="102"/>
    </row>
    <row r="15" spans="1:28" ht="15.75">
      <c r="A15" s="137">
        <f t="shared" si="4"/>
        <v>3</v>
      </c>
      <c r="B15" s="190">
        <f aca="true" t="shared" si="6" ref="B15:M15">IF($A15="","",B14*(100-$D$10)/100)</f>
        <v>4536.31</v>
      </c>
      <c r="C15" s="190">
        <f t="shared" si="6"/>
        <v>3658.32</v>
      </c>
      <c r="D15" s="190">
        <f t="shared" si="6"/>
        <v>3024.21</v>
      </c>
      <c r="E15" s="190">
        <f t="shared" si="6"/>
        <v>3024.21</v>
      </c>
      <c r="F15" s="190">
        <f t="shared" si="6"/>
        <v>4389.98</v>
      </c>
      <c r="G15" s="190">
        <f t="shared" si="6"/>
        <v>6048.42</v>
      </c>
      <c r="H15" s="190">
        <f t="shared" si="6"/>
        <v>7316.63236460063</v>
      </c>
      <c r="I15" s="190">
        <f t="shared" si="6"/>
        <v>7560.52011008732</v>
      </c>
      <c r="J15" s="190">
        <f t="shared" si="6"/>
        <v>9450.65</v>
      </c>
      <c r="K15" s="190">
        <f t="shared" si="6"/>
        <v>7853.19</v>
      </c>
      <c r="L15" s="190">
        <f t="shared" si="6"/>
        <v>7560.52011008732</v>
      </c>
      <c r="M15" s="190">
        <f t="shared" si="6"/>
        <v>4389.98</v>
      </c>
      <c r="N15" s="190">
        <f t="shared" si="3"/>
        <v>68812.94258477527</v>
      </c>
      <c r="P15" s="102"/>
      <c r="Q15" s="102"/>
      <c r="R15" s="102"/>
      <c r="S15" s="102"/>
      <c r="T15" s="102"/>
      <c r="U15" s="102"/>
      <c r="V15" s="102"/>
      <c r="W15" s="102"/>
      <c r="X15" s="102"/>
      <c r="Y15" s="102"/>
      <c r="Z15" s="102"/>
      <c r="AA15" s="102"/>
      <c r="AB15" s="102"/>
    </row>
    <row r="16" spans="1:28" ht="15.75">
      <c r="A16" s="137">
        <f t="shared" si="4"/>
        <v>4</v>
      </c>
      <c r="B16" s="190">
        <f aca="true" t="shared" si="7" ref="B16:M16">IF($A16="","",B15*(100-$E$10)/100)</f>
        <v>4536.31</v>
      </c>
      <c r="C16" s="190">
        <f t="shared" si="7"/>
        <v>3658.32</v>
      </c>
      <c r="D16" s="190">
        <f t="shared" si="7"/>
        <v>3024.21</v>
      </c>
      <c r="E16" s="190">
        <f t="shared" si="7"/>
        <v>3024.21</v>
      </c>
      <c r="F16" s="190">
        <f t="shared" si="7"/>
        <v>4389.98</v>
      </c>
      <c r="G16" s="190">
        <f t="shared" si="7"/>
        <v>6048.42</v>
      </c>
      <c r="H16" s="190">
        <f t="shared" si="7"/>
        <v>7316.63236460063</v>
      </c>
      <c r="I16" s="190">
        <f t="shared" si="7"/>
        <v>7560.52011008732</v>
      </c>
      <c r="J16" s="190">
        <f t="shared" si="7"/>
        <v>9450.65</v>
      </c>
      <c r="K16" s="190">
        <f t="shared" si="7"/>
        <v>7853.19</v>
      </c>
      <c r="L16" s="190">
        <f t="shared" si="7"/>
        <v>7560.52011008732</v>
      </c>
      <c r="M16" s="190">
        <f t="shared" si="7"/>
        <v>4389.98</v>
      </c>
      <c r="N16" s="190">
        <f t="shared" si="3"/>
        <v>68812.94258477527</v>
      </c>
      <c r="P16" s="102"/>
      <c r="Q16" s="102"/>
      <c r="R16" s="102"/>
      <c r="S16" s="102"/>
      <c r="T16" s="102"/>
      <c r="U16" s="102"/>
      <c r="V16" s="102"/>
      <c r="W16" s="102"/>
      <c r="X16" s="102"/>
      <c r="Y16" s="102"/>
      <c r="Z16" s="102"/>
      <c r="AA16" s="102"/>
      <c r="AB16" s="102"/>
    </row>
    <row r="17" spans="1:28" ht="15.75">
      <c r="A17" s="137">
        <f t="shared" si="4"/>
        <v>5</v>
      </c>
      <c r="B17" s="190">
        <f aca="true" t="shared" si="8" ref="B17:M17">IF($A17="","",B16*(100-$F$10)/100)</f>
        <v>4536.31</v>
      </c>
      <c r="C17" s="190">
        <f t="shared" si="8"/>
        <v>3658.32</v>
      </c>
      <c r="D17" s="190">
        <f t="shared" si="8"/>
        <v>3024.21</v>
      </c>
      <c r="E17" s="190">
        <f t="shared" si="8"/>
        <v>3024.21</v>
      </c>
      <c r="F17" s="190">
        <f t="shared" si="8"/>
        <v>4389.98</v>
      </c>
      <c r="G17" s="190">
        <f t="shared" si="8"/>
        <v>6048.42</v>
      </c>
      <c r="H17" s="190">
        <f t="shared" si="8"/>
        <v>7316.63236460063</v>
      </c>
      <c r="I17" s="190">
        <f t="shared" si="8"/>
        <v>7560.52011008732</v>
      </c>
      <c r="J17" s="190">
        <f t="shared" si="8"/>
        <v>9450.65</v>
      </c>
      <c r="K17" s="190">
        <f t="shared" si="8"/>
        <v>7853.19</v>
      </c>
      <c r="L17" s="190">
        <f t="shared" si="8"/>
        <v>7560.52011008732</v>
      </c>
      <c r="M17" s="190">
        <f t="shared" si="8"/>
        <v>4389.98</v>
      </c>
      <c r="N17" s="190">
        <f t="shared" si="3"/>
        <v>68812.94258477527</v>
      </c>
      <c r="P17" s="102"/>
      <c r="Q17" s="102"/>
      <c r="R17" s="102"/>
      <c r="S17" s="102"/>
      <c r="T17" s="102"/>
      <c r="U17" s="102"/>
      <c r="V17" s="102"/>
      <c r="W17" s="102"/>
      <c r="X17" s="102"/>
      <c r="Y17" s="102"/>
      <c r="Z17" s="102"/>
      <c r="AA17" s="102"/>
      <c r="AB17" s="102"/>
    </row>
    <row r="18" spans="1:28" ht="15.75">
      <c r="A18" s="137">
        <f t="shared" si="4"/>
        <v>6</v>
      </c>
      <c r="B18" s="190">
        <f aca="true" t="shared" si="9" ref="B18:M18">IF($A18="","",B17*(100-$G$10)/100)</f>
        <v>4536.31</v>
      </c>
      <c r="C18" s="190">
        <f t="shared" si="9"/>
        <v>3658.32</v>
      </c>
      <c r="D18" s="190">
        <f t="shared" si="9"/>
        <v>3024.21</v>
      </c>
      <c r="E18" s="190">
        <f t="shared" si="9"/>
        <v>3024.21</v>
      </c>
      <c r="F18" s="190">
        <f t="shared" si="9"/>
        <v>4389.98</v>
      </c>
      <c r="G18" s="190">
        <f t="shared" si="9"/>
        <v>6048.42</v>
      </c>
      <c r="H18" s="190">
        <f t="shared" si="9"/>
        <v>7316.63236460063</v>
      </c>
      <c r="I18" s="190">
        <f t="shared" si="9"/>
        <v>7560.52011008732</v>
      </c>
      <c r="J18" s="190">
        <f t="shared" si="9"/>
        <v>9450.65</v>
      </c>
      <c r="K18" s="190">
        <f t="shared" si="9"/>
        <v>7853.19</v>
      </c>
      <c r="L18" s="190">
        <f t="shared" si="9"/>
        <v>7560.52011008732</v>
      </c>
      <c r="M18" s="190">
        <f t="shared" si="9"/>
        <v>4389.98</v>
      </c>
      <c r="N18" s="190">
        <f t="shared" si="3"/>
        <v>68812.94258477527</v>
      </c>
      <c r="P18" s="102"/>
      <c r="Q18" s="102"/>
      <c r="R18" s="102"/>
      <c r="S18" s="102"/>
      <c r="T18" s="102"/>
      <c r="U18" s="102"/>
      <c r="V18" s="102"/>
      <c r="W18" s="102"/>
      <c r="X18" s="102"/>
      <c r="Y18" s="102"/>
      <c r="Z18" s="102"/>
      <c r="AA18" s="102"/>
      <c r="AB18" s="102"/>
    </row>
    <row r="19" spans="1:28" ht="15.75">
      <c r="A19" s="137">
        <f t="shared" si="4"/>
        <v>7</v>
      </c>
      <c r="B19" s="190">
        <f aca="true" t="shared" si="10" ref="B19:M19">IF($A19="","",B18*(100-$H$10)/100)</f>
        <v>4536.31</v>
      </c>
      <c r="C19" s="190">
        <f t="shared" si="10"/>
        <v>3658.32</v>
      </c>
      <c r="D19" s="190">
        <f t="shared" si="10"/>
        <v>3024.21</v>
      </c>
      <c r="E19" s="190">
        <f t="shared" si="10"/>
        <v>3024.21</v>
      </c>
      <c r="F19" s="190">
        <f t="shared" si="10"/>
        <v>4389.98</v>
      </c>
      <c r="G19" s="190">
        <f t="shared" si="10"/>
        <v>6048.42</v>
      </c>
      <c r="H19" s="190">
        <f t="shared" si="10"/>
        <v>7316.63236460063</v>
      </c>
      <c r="I19" s="190">
        <f t="shared" si="10"/>
        <v>7560.52011008732</v>
      </c>
      <c r="J19" s="190">
        <f t="shared" si="10"/>
        <v>9450.65</v>
      </c>
      <c r="K19" s="190">
        <f t="shared" si="10"/>
        <v>7853.19</v>
      </c>
      <c r="L19" s="190">
        <f t="shared" si="10"/>
        <v>7560.52011008732</v>
      </c>
      <c r="M19" s="190">
        <f t="shared" si="10"/>
        <v>4389.98</v>
      </c>
      <c r="N19" s="190">
        <f t="shared" si="3"/>
        <v>68812.94258477527</v>
      </c>
      <c r="P19" s="102"/>
      <c r="Q19" s="102"/>
      <c r="R19" s="102"/>
      <c r="S19" s="102"/>
      <c r="T19" s="102"/>
      <c r="U19" s="102"/>
      <c r="V19" s="102"/>
      <c r="W19" s="102"/>
      <c r="X19" s="102"/>
      <c r="Y19" s="102"/>
      <c r="Z19" s="102"/>
      <c r="AA19" s="102"/>
      <c r="AB19" s="102"/>
    </row>
    <row r="20" spans="1:28" ht="15.75">
      <c r="A20" s="137">
        <f t="shared" si="4"/>
        <v>8</v>
      </c>
      <c r="B20" s="190">
        <f aca="true" t="shared" si="11" ref="B20:M20">IF($A20="","",B19*(100-$I$10)/100)</f>
        <v>4536.31</v>
      </c>
      <c r="C20" s="190">
        <f t="shared" si="11"/>
        <v>3658.32</v>
      </c>
      <c r="D20" s="190">
        <f t="shared" si="11"/>
        <v>3024.21</v>
      </c>
      <c r="E20" s="190">
        <f t="shared" si="11"/>
        <v>3024.21</v>
      </c>
      <c r="F20" s="190">
        <f t="shared" si="11"/>
        <v>4389.98</v>
      </c>
      <c r="G20" s="190">
        <f t="shared" si="11"/>
        <v>6048.42</v>
      </c>
      <c r="H20" s="190">
        <f t="shared" si="11"/>
        <v>7316.63236460063</v>
      </c>
      <c r="I20" s="190">
        <f t="shared" si="11"/>
        <v>7560.52011008732</v>
      </c>
      <c r="J20" s="190">
        <f t="shared" si="11"/>
        <v>9450.65</v>
      </c>
      <c r="K20" s="190">
        <f t="shared" si="11"/>
        <v>7853.19</v>
      </c>
      <c r="L20" s="190">
        <f t="shared" si="11"/>
        <v>7560.52011008732</v>
      </c>
      <c r="M20" s="190">
        <f t="shared" si="11"/>
        <v>4389.98</v>
      </c>
      <c r="N20" s="190">
        <f t="shared" si="3"/>
        <v>68812.94258477527</v>
      </c>
      <c r="P20" s="102"/>
      <c r="Q20" s="102"/>
      <c r="R20" s="102"/>
      <c r="S20" s="102"/>
      <c r="T20" s="102"/>
      <c r="U20" s="102"/>
      <c r="V20" s="102"/>
      <c r="W20" s="102"/>
      <c r="X20" s="102"/>
      <c r="Y20" s="102"/>
      <c r="Z20" s="102"/>
      <c r="AA20" s="102"/>
      <c r="AB20" s="102"/>
    </row>
    <row r="21" spans="1:28" ht="15.75">
      <c r="A21" s="137">
        <f t="shared" si="4"/>
        <v>9</v>
      </c>
      <c r="B21" s="190">
        <f aca="true" t="shared" si="12" ref="B21:M21">IF($A21="","",B20*(100-$J$10)/100)</f>
        <v>4536.31</v>
      </c>
      <c r="C21" s="190">
        <f t="shared" si="12"/>
        <v>3658.32</v>
      </c>
      <c r="D21" s="190">
        <f t="shared" si="12"/>
        <v>3024.21</v>
      </c>
      <c r="E21" s="190">
        <f t="shared" si="12"/>
        <v>3024.21</v>
      </c>
      <c r="F21" s="190">
        <f t="shared" si="12"/>
        <v>4389.98</v>
      </c>
      <c r="G21" s="190">
        <f t="shared" si="12"/>
        <v>6048.42</v>
      </c>
      <c r="H21" s="190">
        <f t="shared" si="12"/>
        <v>7316.63236460063</v>
      </c>
      <c r="I21" s="190">
        <f t="shared" si="12"/>
        <v>7560.52011008732</v>
      </c>
      <c r="J21" s="190">
        <f t="shared" si="12"/>
        <v>9450.65</v>
      </c>
      <c r="K21" s="190">
        <f t="shared" si="12"/>
        <v>7853.19</v>
      </c>
      <c r="L21" s="190">
        <f t="shared" si="12"/>
        <v>7560.52011008732</v>
      </c>
      <c r="M21" s="190">
        <f t="shared" si="12"/>
        <v>4389.98</v>
      </c>
      <c r="N21" s="190">
        <f t="shared" si="3"/>
        <v>68812.94258477527</v>
      </c>
      <c r="P21" s="102"/>
      <c r="Q21" s="102"/>
      <c r="R21" s="102"/>
      <c r="S21" s="102"/>
      <c r="T21" s="102"/>
      <c r="U21" s="102"/>
      <c r="V21" s="102"/>
      <c r="W21" s="102"/>
      <c r="X21" s="102"/>
      <c r="Y21" s="102"/>
      <c r="Z21" s="102"/>
      <c r="AA21" s="102"/>
      <c r="AB21" s="102"/>
    </row>
    <row r="22" spans="1:28" ht="15.75">
      <c r="A22" s="137">
        <f t="shared" si="4"/>
        <v>10</v>
      </c>
      <c r="B22" s="190">
        <f aca="true" t="shared" si="13" ref="B22:M22">IF($A22="","",B21*(100-$K$10)/100)</f>
        <v>4536.31</v>
      </c>
      <c r="C22" s="190">
        <f t="shared" si="13"/>
        <v>3658.32</v>
      </c>
      <c r="D22" s="190">
        <f t="shared" si="13"/>
        <v>3024.21</v>
      </c>
      <c r="E22" s="190">
        <f t="shared" si="13"/>
        <v>3024.21</v>
      </c>
      <c r="F22" s="190">
        <f t="shared" si="13"/>
        <v>4389.98</v>
      </c>
      <c r="G22" s="190">
        <f t="shared" si="13"/>
        <v>6048.42</v>
      </c>
      <c r="H22" s="190">
        <f t="shared" si="13"/>
        <v>7316.63236460063</v>
      </c>
      <c r="I22" s="190">
        <f t="shared" si="13"/>
        <v>7560.52011008732</v>
      </c>
      <c r="J22" s="190">
        <f t="shared" si="13"/>
        <v>9450.65</v>
      </c>
      <c r="K22" s="190">
        <f t="shared" si="13"/>
        <v>7853.19</v>
      </c>
      <c r="L22" s="190">
        <f t="shared" si="13"/>
        <v>7560.52011008732</v>
      </c>
      <c r="M22" s="190">
        <f t="shared" si="13"/>
        <v>4389.98</v>
      </c>
      <c r="N22" s="190">
        <f t="shared" si="3"/>
        <v>68812.94258477527</v>
      </c>
      <c r="P22" s="102"/>
      <c r="Q22" s="102"/>
      <c r="R22" s="102"/>
      <c r="S22" s="102"/>
      <c r="T22" s="102"/>
      <c r="U22" s="102"/>
      <c r="V22" s="102"/>
      <c r="W22" s="102"/>
      <c r="X22" s="102"/>
      <c r="Y22" s="102"/>
      <c r="Z22" s="102"/>
      <c r="AA22" s="102"/>
      <c r="AB22" s="102"/>
    </row>
    <row r="23" spans="1:28" ht="15.75">
      <c r="A23" s="137">
        <f t="shared" si="4"/>
        <v>11</v>
      </c>
      <c r="B23" s="190">
        <f aca="true" t="shared" si="14" ref="B23:M23">IF($A23="","",B22*(100-$L$10)/100)</f>
        <v>4536.31</v>
      </c>
      <c r="C23" s="190">
        <f t="shared" si="14"/>
        <v>3658.32</v>
      </c>
      <c r="D23" s="190">
        <f t="shared" si="14"/>
        <v>3024.21</v>
      </c>
      <c r="E23" s="190">
        <f t="shared" si="14"/>
        <v>3024.21</v>
      </c>
      <c r="F23" s="190">
        <f t="shared" si="14"/>
        <v>4389.98</v>
      </c>
      <c r="G23" s="190">
        <f t="shared" si="14"/>
        <v>6048.42</v>
      </c>
      <c r="H23" s="190">
        <f t="shared" si="14"/>
        <v>7316.63236460063</v>
      </c>
      <c r="I23" s="190">
        <f t="shared" si="14"/>
        <v>7560.52011008732</v>
      </c>
      <c r="J23" s="190">
        <f t="shared" si="14"/>
        <v>9450.65</v>
      </c>
      <c r="K23" s="190">
        <f t="shared" si="14"/>
        <v>7853.19</v>
      </c>
      <c r="L23" s="190">
        <f t="shared" si="14"/>
        <v>7560.52011008732</v>
      </c>
      <c r="M23" s="190">
        <f t="shared" si="14"/>
        <v>4389.98</v>
      </c>
      <c r="N23" s="190">
        <f t="shared" si="3"/>
        <v>68812.94258477527</v>
      </c>
      <c r="P23" s="102"/>
      <c r="Q23" s="102"/>
      <c r="R23" s="102"/>
      <c r="S23" s="102"/>
      <c r="T23" s="102"/>
      <c r="U23" s="102"/>
      <c r="V23" s="102"/>
      <c r="W23" s="102"/>
      <c r="X23" s="102"/>
      <c r="Y23" s="102"/>
      <c r="Z23" s="102"/>
      <c r="AA23" s="102"/>
      <c r="AB23" s="102"/>
    </row>
    <row r="24" spans="1:28" ht="15.75">
      <c r="A24" s="137">
        <f t="shared" si="4"/>
        <v>12</v>
      </c>
      <c r="B24" s="190">
        <f aca="true" t="shared" si="15" ref="B24:M24">IF($A24="","",B23*(100-$M$10)/100)</f>
        <v>4536.31</v>
      </c>
      <c r="C24" s="190">
        <f t="shared" si="15"/>
        <v>3658.32</v>
      </c>
      <c r="D24" s="190">
        <f t="shared" si="15"/>
        <v>3024.21</v>
      </c>
      <c r="E24" s="190">
        <f t="shared" si="15"/>
        <v>3024.21</v>
      </c>
      <c r="F24" s="190">
        <f t="shared" si="15"/>
        <v>4389.98</v>
      </c>
      <c r="G24" s="190">
        <f t="shared" si="15"/>
        <v>6048.42</v>
      </c>
      <c r="H24" s="190">
        <f t="shared" si="15"/>
        <v>7316.63236460063</v>
      </c>
      <c r="I24" s="190">
        <f t="shared" si="15"/>
        <v>7560.52011008732</v>
      </c>
      <c r="J24" s="190">
        <f t="shared" si="15"/>
        <v>9450.65</v>
      </c>
      <c r="K24" s="190">
        <f t="shared" si="15"/>
        <v>7853.19</v>
      </c>
      <c r="L24" s="190">
        <f t="shared" si="15"/>
        <v>7560.52011008732</v>
      </c>
      <c r="M24" s="190">
        <f t="shared" si="15"/>
        <v>4389.98</v>
      </c>
      <c r="N24" s="190">
        <f t="shared" si="3"/>
        <v>68812.94258477527</v>
      </c>
      <c r="P24" s="102"/>
      <c r="Q24" s="102"/>
      <c r="R24" s="102"/>
      <c r="S24" s="102"/>
      <c r="T24" s="102"/>
      <c r="U24" s="102"/>
      <c r="V24" s="102"/>
      <c r="W24" s="102"/>
      <c r="X24" s="102"/>
      <c r="Y24" s="102"/>
      <c r="Z24" s="102"/>
      <c r="AA24" s="102"/>
      <c r="AB24" s="102"/>
    </row>
    <row r="25" spans="1:28" ht="15.75">
      <c r="A25" s="137">
        <f t="shared" si="4"/>
        <v>13</v>
      </c>
      <c r="B25" s="190">
        <f aca="true" t="shared" si="16" ref="B25:M25">IF($A25="","",B24*(100-$N$10)/100)</f>
        <v>4536.31</v>
      </c>
      <c r="C25" s="190">
        <f t="shared" si="16"/>
        <v>3658.32</v>
      </c>
      <c r="D25" s="190">
        <f t="shared" si="16"/>
        <v>3024.21</v>
      </c>
      <c r="E25" s="190">
        <f t="shared" si="16"/>
        <v>3024.21</v>
      </c>
      <c r="F25" s="190">
        <f t="shared" si="16"/>
        <v>4389.98</v>
      </c>
      <c r="G25" s="190">
        <f t="shared" si="16"/>
        <v>6048.42</v>
      </c>
      <c r="H25" s="190">
        <f t="shared" si="16"/>
        <v>7316.63236460063</v>
      </c>
      <c r="I25" s="190">
        <f t="shared" si="16"/>
        <v>7560.52011008732</v>
      </c>
      <c r="J25" s="190">
        <f t="shared" si="16"/>
        <v>9450.65</v>
      </c>
      <c r="K25" s="190">
        <f t="shared" si="16"/>
        <v>7853.19</v>
      </c>
      <c r="L25" s="190">
        <f t="shared" si="16"/>
        <v>7560.52011008732</v>
      </c>
      <c r="M25" s="190">
        <f t="shared" si="16"/>
        <v>4389.98</v>
      </c>
      <c r="N25" s="190">
        <f t="shared" si="3"/>
        <v>68812.94258477527</v>
      </c>
      <c r="P25" s="102"/>
      <c r="Q25" s="102"/>
      <c r="R25" s="102"/>
      <c r="S25" s="102"/>
      <c r="T25" s="102"/>
      <c r="U25" s="102"/>
      <c r="V25" s="102"/>
      <c r="W25" s="102"/>
      <c r="X25" s="102"/>
      <c r="Y25" s="102"/>
      <c r="Z25" s="102"/>
      <c r="AA25" s="102"/>
      <c r="AB25" s="102"/>
    </row>
    <row r="26" spans="1:28" ht="15.75">
      <c r="A26" s="137">
        <f t="shared" si="4"/>
        <v>14</v>
      </c>
      <c r="B26" s="190">
        <f aca="true" t="shared" si="17" ref="B26:M26">IF($A26="","",B25*(100-$O$10)/100)</f>
        <v>4536.31</v>
      </c>
      <c r="C26" s="190">
        <f t="shared" si="17"/>
        <v>3658.32</v>
      </c>
      <c r="D26" s="190">
        <f t="shared" si="17"/>
        <v>3024.21</v>
      </c>
      <c r="E26" s="190">
        <f t="shared" si="17"/>
        <v>3024.21</v>
      </c>
      <c r="F26" s="190">
        <f t="shared" si="17"/>
        <v>4389.98</v>
      </c>
      <c r="G26" s="190">
        <f t="shared" si="17"/>
        <v>6048.42</v>
      </c>
      <c r="H26" s="190">
        <f t="shared" si="17"/>
        <v>7316.63236460063</v>
      </c>
      <c r="I26" s="190">
        <f t="shared" si="17"/>
        <v>7560.52011008732</v>
      </c>
      <c r="J26" s="190">
        <f t="shared" si="17"/>
        <v>9450.65</v>
      </c>
      <c r="K26" s="190">
        <f t="shared" si="17"/>
        <v>7853.19</v>
      </c>
      <c r="L26" s="190">
        <f t="shared" si="17"/>
        <v>7560.52011008732</v>
      </c>
      <c r="M26" s="190">
        <f t="shared" si="17"/>
        <v>4389.98</v>
      </c>
      <c r="N26" s="190">
        <f t="shared" si="3"/>
        <v>68812.94258477527</v>
      </c>
      <c r="P26" s="102"/>
      <c r="Q26" s="102"/>
      <c r="R26" s="102"/>
      <c r="S26" s="102"/>
      <c r="T26" s="102"/>
      <c r="U26" s="102"/>
      <c r="V26" s="102"/>
      <c r="W26" s="102"/>
      <c r="X26" s="102"/>
      <c r="Y26" s="102"/>
      <c r="Z26" s="102"/>
      <c r="AA26" s="102"/>
      <c r="AB26" s="102"/>
    </row>
    <row r="27" spans="1:28" ht="15.75">
      <c r="A27" s="137">
        <f t="shared" si="4"/>
        <v>15</v>
      </c>
      <c r="B27" s="190">
        <f aca="true" t="shared" si="18" ref="B27:M27">IF($A27="","",B26*(100-$P$10)/100)</f>
        <v>4536.31</v>
      </c>
      <c r="C27" s="190">
        <f t="shared" si="18"/>
        <v>3658.32</v>
      </c>
      <c r="D27" s="190">
        <f t="shared" si="18"/>
        <v>3024.21</v>
      </c>
      <c r="E27" s="190">
        <f t="shared" si="18"/>
        <v>3024.21</v>
      </c>
      <c r="F27" s="190">
        <f t="shared" si="18"/>
        <v>4389.98</v>
      </c>
      <c r="G27" s="190">
        <f t="shared" si="18"/>
        <v>6048.42</v>
      </c>
      <c r="H27" s="190">
        <f t="shared" si="18"/>
        <v>7316.63236460063</v>
      </c>
      <c r="I27" s="190">
        <f t="shared" si="18"/>
        <v>7560.52011008732</v>
      </c>
      <c r="J27" s="190">
        <f t="shared" si="18"/>
        <v>9450.65</v>
      </c>
      <c r="K27" s="190">
        <f t="shared" si="18"/>
        <v>7853.19</v>
      </c>
      <c r="L27" s="190">
        <f t="shared" si="18"/>
        <v>7560.52011008732</v>
      </c>
      <c r="M27" s="190">
        <f t="shared" si="18"/>
        <v>4389.98</v>
      </c>
      <c r="N27" s="190">
        <f t="shared" si="3"/>
        <v>68812.94258477527</v>
      </c>
      <c r="P27" s="102"/>
      <c r="Q27" s="102"/>
      <c r="R27" s="102"/>
      <c r="S27" s="102"/>
      <c r="T27" s="102"/>
      <c r="U27" s="102"/>
      <c r="V27" s="102"/>
      <c r="W27" s="102"/>
      <c r="X27" s="102"/>
      <c r="Y27" s="102"/>
      <c r="Z27" s="102"/>
      <c r="AA27" s="102"/>
      <c r="AB27" s="102"/>
    </row>
    <row r="28" spans="1:28" ht="15.75">
      <c r="A28" s="137">
        <f t="shared" si="4"/>
        <v>16</v>
      </c>
      <c r="B28" s="190">
        <f aca="true" t="shared" si="19" ref="B28:M28">IF($A28="","",B27*(100-$Q$10)/100)</f>
        <v>4536.31</v>
      </c>
      <c r="C28" s="190">
        <f t="shared" si="19"/>
        <v>3658.32</v>
      </c>
      <c r="D28" s="190">
        <f t="shared" si="19"/>
        <v>3024.21</v>
      </c>
      <c r="E28" s="190">
        <f t="shared" si="19"/>
        <v>3024.21</v>
      </c>
      <c r="F28" s="190">
        <f t="shared" si="19"/>
        <v>4389.98</v>
      </c>
      <c r="G28" s="190">
        <f t="shared" si="19"/>
        <v>6048.42</v>
      </c>
      <c r="H28" s="190">
        <f t="shared" si="19"/>
        <v>7316.63236460063</v>
      </c>
      <c r="I28" s="190">
        <f t="shared" si="19"/>
        <v>7560.52011008732</v>
      </c>
      <c r="J28" s="190">
        <f t="shared" si="19"/>
        <v>9450.65</v>
      </c>
      <c r="K28" s="190">
        <f t="shared" si="19"/>
        <v>7853.19</v>
      </c>
      <c r="L28" s="190">
        <f t="shared" si="19"/>
        <v>7560.52011008732</v>
      </c>
      <c r="M28" s="190">
        <f t="shared" si="19"/>
        <v>4389.98</v>
      </c>
      <c r="N28" s="190">
        <f t="shared" si="3"/>
        <v>68812.94258477527</v>
      </c>
      <c r="P28" s="102"/>
      <c r="Q28" s="102"/>
      <c r="R28" s="102"/>
      <c r="S28" s="102"/>
      <c r="T28" s="102"/>
      <c r="U28" s="102"/>
      <c r="V28" s="102"/>
      <c r="W28" s="102"/>
      <c r="X28" s="102"/>
      <c r="Y28" s="102"/>
      <c r="Z28" s="102"/>
      <c r="AA28" s="102"/>
      <c r="AB28" s="102"/>
    </row>
    <row r="29" spans="1:28" ht="15.75">
      <c r="A29" s="137">
        <f t="shared" si="4"/>
        <v>17</v>
      </c>
      <c r="B29" s="190">
        <f aca="true" t="shared" si="20" ref="B29:M29">IF($A29="","",B28*(100-$R$10)/100)</f>
        <v>4536.31</v>
      </c>
      <c r="C29" s="190">
        <f t="shared" si="20"/>
        <v>3658.32</v>
      </c>
      <c r="D29" s="190">
        <f t="shared" si="20"/>
        <v>3024.21</v>
      </c>
      <c r="E29" s="190">
        <f t="shared" si="20"/>
        <v>3024.21</v>
      </c>
      <c r="F29" s="190">
        <f t="shared" si="20"/>
        <v>4389.98</v>
      </c>
      <c r="G29" s="190">
        <f t="shared" si="20"/>
        <v>6048.42</v>
      </c>
      <c r="H29" s="190">
        <f t="shared" si="20"/>
        <v>7316.63236460063</v>
      </c>
      <c r="I29" s="190">
        <f t="shared" si="20"/>
        <v>7560.52011008732</v>
      </c>
      <c r="J29" s="190">
        <f t="shared" si="20"/>
        <v>9450.65</v>
      </c>
      <c r="K29" s="190">
        <f t="shared" si="20"/>
        <v>7853.19</v>
      </c>
      <c r="L29" s="190">
        <f t="shared" si="20"/>
        <v>7560.52011008732</v>
      </c>
      <c r="M29" s="190">
        <f t="shared" si="20"/>
        <v>4389.98</v>
      </c>
      <c r="N29" s="190">
        <f t="shared" si="3"/>
        <v>68812.94258477527</v>
      </c>
      <c r="P29" s="102"/>
      <c r="Q29" s="102"/>
      <c r="R29" s="102"/>
      <c r="S29" s="102"/>
      <c r="T29" s="102"/>
      <c r="U29" s="102"/>
      <c r="V29" s="102"/>
      <c r="W29" s="102"/>
      <c r="X29" s="102"/>
      <c r="Y29" s="102"/>
      <c r="Z29" s="102"/>
      <c r="AA29" s="102"/>
      <c r="AB29" s="102"/>
    </row>
    <row r="30" spans="1:28" ht="15.75">
      <c r="A30" s="137">
        <f t="shared" si="4"/>
        <v>18</v>
      </c>
      <c r="B30" s="190">
        <f aca="true" t="shared" si="21" ref="B30:M30">IF($A30="","",B29*(100-$S$10)/100)</f>
        <v>4536.31</v>
      </c>
      <c r="C30" s="190">
        <f t="shared" si="21"/>
        <v>3658.32</v>
      </c>
      <c r="D30" s="190">
        <f t="shared" si="21"/>
        <v>3024.21</v>
      </c>
      <c r="E30" s="190">
        <f t="shared" si="21"/>
        <v>3024.21</v>
      </c>
      <c r="F30" s="190">
        <f t="shared" si="21"/>
        <v>4389.98</v>
      </c>
      <c r="G30" s="190">
        <f t="shared" si="21"/>
        <v>6048.42</v>
      </c>
      <c r="H30" s="190">
        <f t="shared" si="21"/>
        <v>7316.63236460063</v>
      </c>
      <c r="I30" s="190">
        <f t="shared" si="21"/>
        <v>7560.52011008732</v>
      </c>
      <c r="J30" s="190">
        <f t="shared" si="21"/>
        <v>9450.65</v>
      </c>
      <c r="K30" s="190">
        <f t="shared" si="21"/>
        <v>7853.19</v>
      </c>
      <c r="L30" s="190">
        <f t="shared" si="21"/>
        <v>7560.52011008732</v>
      </c>
      <c r="M30" s="190">
        <f t="shared" si="21"/>
        <v>4389.98</v>
      </c>
      <c r="N30" s="190">
        <f t="shared" si="3"/>
        <v>68812.94258477527</v>
      </c>
      <c r="P30" s="102"/>
      <c r="Q30" s="102"/>
      <c r="R30" s="102"/>
      <c r="S30" s="102"/>
      <c r="T30" s="102"/>
      <c r="U30" s="102"/>
      <c r="V30" s="102"/>
      <c r="W30" s="102"/>
      <c r="X30" s="102"/>
      <c r="Y30" s="102"/>
      <c r="Z30" s="102"/>
      <c r="AA30" s="102"/>
      <c r="AB30" s="102"/>
    </row>
    <row r="31" spans="1:28" ht="15.75">
      <c r="A31" s="137">
        <f t="shared" si="4"/>
        <v>19</v>
      </c>
      <c r="B31" s="190">
        <f aca="true" t="shared" si="22" ref="B31:M31">IF($A31="","",B30*(100-$T$10)/100)</f>
        <v>4536.31</v>
      </c>
      <c r="C31" s="190">
        <f t="shared" si="22"/>
        <v>3658.32</v>
      </c>
      <c r="D31" s="190">
        <f t="shared" si="22"/>
        <v>3024.21</v>
      </c>
      <c r="E31" s="190">
        <f t="shared" si="22"/>
        <v>3024.21</v>
      </c>
      <c r="F31" s="190">
        <f t="shared" si="22"/>
        <v>4389.98</v>
      </c>
      <c r="G31" s="190">
        <f t="shared" si="22"/>
        <v>6048.42</v>
      </c>
      <c r="H31" s="190">
        <f t="shared" si="22"/>
        <v>7316.63236460063</v>
      </c>
      <c r="I31" s="190">
        <f t="shared" si="22"/>
        <v>7560.52011008732</v>
      </c>
      <c r="J31" s="190">
        <f t="shared" si="22"/>
        <v>9450.65</v>
      </c>
      <c r="K31" s="190">
        <f t="shared" si="22"/>
        <v>7853.19</v>
      </c>
      <c r="L31" s="190">
        <f t="shared" si="22"/>
        <v>7560.52011008732</v>
      </c>
      <c r="M31" s="190">
        <f t="shared" si="22"/>
        <v>4389.98</v>
      </c>
      <c r="N31" s="190">
        <f t="shared" si="3"/>
        <v>68812.94258477527</v>
      </c>
      <c r="P31" s="102"/>
      <c r="Q31" s="102"/>
      <c r="R31" s="102"/>
      <c r="S31" s="102"/>
      <c r="T31" s="102"/>
      <c r="U31" s="102"/>
      <c r="V31" s="102"/>
      <c r="W31" s="102"/>
      <c r="X31" s="102"/>
      <c r="Y31" s="102"/>
      <c r="Z31" s="102"/>
      <c r="AA31" s="102"/>
      <c r="AB31" s="102"/>
    </row>
    <row r="32" spans="1:28" ht="15.75">
      <c r="A32" s="137">
        <f t="shared" si="4"/>
        <v>20</v>
      </c>
      <c r="B32" s="190">
        <f aca="true" t="shared" si="23" ref="B32:M32">IF($A32="","",B31*(100-$U$10)/100)</f>
        <v>4536.31</v>
      </c>
      <c r="C32" s="190">
        <f t="shared" si="23"/>
        <v>3658.32</v>
      </c>
      <c r="D32" s="190">
        <f t="shared" si="23"/>
        <v>3024.21</v>
      </c>
      <c r="E32" s="190">
        <f t="shared" si="23"/>
        <v>3024.21</v>
      </c>
      <c r="F32" s="190">
        <f t="shared" si="23"/>
        <v>4389.98</v>
      </c>
      <c r="G32" s="190">
        <f t="shared" si="23"/>
        <v>6048.42</v>
      </c>
      <c r="H32" s="190">
        <f t="shared" si="23"/>
        <v>7316.63236460063</v>
      </c>
      <c r="I32" s="190">
        <f t="shared" si="23"/>
        <v>7560.52011008732</v>
      </c>
      <c r="J32" s="190">
        <f t="shared" si="23"/>
        <v>9450.65</v>
      </c>
      <c r="K32" s="190">
        <f t="shared" si="23"/>
        <v>7853.19</v>
      </c>
      <c r="L32" s="190">
        <f t="shared" si="23"/>
        <v>7560.52011008732</v>
      </c>
      <c r="M32" s="190">
        <f t="shared" si="23"/>
        <v>4389.98</v>
      </c>
      <c r="N32" s="190">
        <f t="shared" si="3"/>
        <v>68812.94258477527</v>
      </c>
      <c r="P32" s="102"/>
      <c r="Q32" s="102"/>
      <c r="R32" s="102"/>
      <c r="S32" s="102"/>
      <c r="T32" s="102"/>
      <c r="U32" s="102"/>
      <c r="V32" s="102"/>
      <c r="W32" s="102"/>
      <c r="X32" s="102"/>
      <c r="Y32" s="102"/>
      <c r="Z32" s="102"/>
      <c r="AA32" s="102"/>
      <c r="AB32" s="102"/>
    </row>
    <row r="33" spans="1:16" ht="15.75">
      <c r="A33" s="6"/>
      <c r="P33" t="s">
        <v>147</v>
      </c>
    </row>
    <row r="34" spans="1:28" ht="15.75">
      <c r="A34" t="s">
        <v>163</v>
      </c>
      <c r="B34" s="107">
        <f aca="true" t="shared" si="24" ref="B34:M34">B12</f>
        <v>5</v>
      </c>
      <c r="C34" s="107">
        <f t="shared" si="24"/>
        <v>6</v>
      </c>
      <c r="D34" s="107">
        <f t="shared" si="24"/>
        <v>7</v>
      </c>
      <c r="E34" s="107">
        <f t="shared" si="24"/>
        <v>8</v>
      </c>
      <c r="F34" s="107">
        <f t="shared" si="24"/>
        <v>9</v>
      </c>
      <c r="G34" s="107">
        <f t="shared" si="24"/>
        <v>10</v>
      </c>
      <c r="H34" s="107">
        <f t="shared" si="24"/>
        <v>11</v>
      </c>
      <c r="I34" s="107">
        <f t="shared" si="24"/>
        <v>12</v>
      </c>
      <c r="J34" s="107">
        <f t="shared" si="24"/>
        <v>1</v>
      </c>
      <c r="K34" s="107">
        <f t="shared" si="24"/>
        <v>2</v>
      </c>
      <c r="L34" s="107">
        <f t="shared" si="24"/>
        <v>3</v>
      </c>
      <c r="M34" s="107">
        <f t="shared" si="24"/>
        <v>4</v>
      </c>
      <c r="P34" t="s">
        <v>102</v>
      </c>
      <c r="Q34" s="102"/>
      <c r="R34" s="102"/>
      <c r="S34" s="102"/>
      <c r="T34" s="102"/>
      <c r="U34" s="102"/>
      <c r="V34" s="102"/>
      <c r="W34" s="102"/>
      <c r="X34" s="102"/>
      <c r="Y34" s="102"/>
      <c r="Z34" s="102"/>
      <c r="AA34" s="102"/>
      <c r="AB34" s="102"/>
    </row>
    <row r="35" spans="1:28" ht="15.75">
      <c r="A35" s="137">
        <v>1</v>
      </c>
      <c r="B35" s="102">
        <f aca="true" t="shared" si="25" ref="B35:M54">IF(Q35="",0,IF(Q35&gt;=43739,0.1,(IF(Q35&gt;=41730,0.08,0.05))))</f>
        <v>0.1</v>
      </c>
      <c r="C35" s="102">
        <f t="shared" si="25"/>
        <v>0.1</v>
      </c>
      <c r="D35" s="102">
        <f t="shared" si="25"/>
        <v>0.1</v>
      </c>
      <c r="E35" s="102">
        <f t="shared" si="25"/>
        <v>0.1</v>
      </c>
      <c r="F35" s="102">
        <f t="shared" si="25"/>
        <v>0.1</v>
      </c>
      <c r="G35" s="102">
        <f t="shared" si="25"/>
        <v>0.1</v>
      </c>
      <c r="H35" s="102">
        <f t="shared" si="25"/>
        <v>0.1</v>
      </c>
      <c r="I35" s="102">
        <f t="shared" si="25"/>
        <v>0.1</v>
      </c>
      <c r="J35" s="102">
        <f t="shared" si="25"/>
        <v>0.1</v>
      </c>
      <c r="K35" s="102">
        <f t="shared" si="25"/>
        <v>0.1</v>
      </c>
      <c r="L35" s="102">
        <f t="shared" si="25"/>
        <v>0.1</v>
      </c>
      <c r="M35" s="102">
        <f t="shared" si="25"/>
        <v>0.1</v>
      </c>
      <c r="P35" s="137">
        <v>1</v>
      </c>
      <c r="Q35" s="3">
        <f>DATE(YEAR($B$1),MONTH($B$1),1)</f>
        <v>44682</v>
      </c>
      <c r="R35" s="3">
        <f aca="true" t="shared" si="26" ref="R35:AB54">DATE(YEAR(Q35),MONTH(Q35)+1,DAY(Q35))</f>
        <v>44713</v>
      </c>
      <c r="S35" s="3">
        <f t="shared" si="26"/>
        <v>44743</v>
      </c>
      <c r="T35" s="3">
        <f t="shared" si="26"/>
        <v>44774</v>
      </c>
      <c r="U35" s="3">
        <f t="shared" si="26"/>
        <v>44805</v>
      </c>
      <c r="V35" s="3">
        <f t="shared" si="26"/>
        <v>44835</v>
      </c>
      <c r="W35" s="3">
        <f t="shared" si="26"/>
        <v>44866</v>
      </c>
      <c r="X35" s="3">
        <f t="shared" si="26"/>
        <v>44896</v>
      </c>
      <c r="Y35" s="3">
        <f t="shared" si="26"/>
        <v>44927</v>
      </c>
      <c r="Z35" s="3">
        <f t="shared" si="26"/>
        <v>44958</v>
      </c>
      <c r="AA35" s="3">
        <f t="shared" si="26"/>
        <v>44986</v>
      </c>
      <c r="AB35" s="3">
        <f t="shared" si="26"/>
        <v>45017</v>
      </c>
    </row>
    <row r="36" spans="1:28" ht="15.75">
      <c r="A36" s="137">
        <f aca="true" t="shared" si="27" ref="A36:A54">IF(A35&lt;$B$3,A35+1,"")</f>
        <v>2</v>
      </c>
      <c r="B36" s="102">
        <f t="shared" si="25"/>
        <v>0.1</v>
      </c>
      <c r="C36" s="102">
        <f t="shared" si="25"/>
        <v>0.1</v>
      </c>
      <c r="D36" s="102">
        <f t="shared" si="25"/>
        <v>0.1</v>
      </c>
      <c r="E36" s="102">
        <f t="shared" si="25"/>
        <v>0.1</v>
      </c>
      <c r="F36" s="102">
        <f t="shared" si="25"/>
        <v>0.1</v>
      </c>
      <c r="G36" s="102">
        <f t="shared" si="25"/>
        <v>0.1</v>
      </c>
      <c r="H36" s="102">
        <f t="shared" si="25"/>
        <v>0.1</v>
      </c>
      <c r="I36" s="102">
        <f t="shared" si="25"/>
        <v>0.1</v>
      </c>
      <c r="J36" s="102">
        <f t="shared" si="25"/>
        <v>0.1</v>
      </c>
      <c r="K36" s="102">
        <f t="shared" si="25"/>
        <v>0.1</v>
      </c>
      <c r="L36" s="102">
        <f t="shared" si="25"/>
        <v>0.1</v>
      </c>
      <c r="M36" s="102">
        <f t="shared" si="25"/>
        <v>0.1</v>
      </c>
      <c r="P36" s="137">
        <f aca="true" t="shared" si="28" ref="P36:P54">IF(P35&lt;$B$3,P35+1,"")</f>
        <v>2</v>
      </c>
      <c r="Q36" s="3">
        <f aca="true" t="shared" si="29" ref="Q36:Q54">DATE(YEAR($AB35),MONTH($AB35)+1,DAY($AB35))</f>
        <v>45047</v>
      </c>
      <c r="R36" s="3">
        <f t="shared" si="26"/>
        <v>45078</v>
      </c>
      <c r="S36" s="3">
        <f t="shared" si="26"/>
        <v>45108</v>
      </c>
      <c r="T36" s="3">
        <f t="shared" si="26"/>
        <v>45139</v>
      </c>
      <c r="U36" s="3">
        <f t="shared" si="26"/>
        <v>45170</v>
      </c>
      <c r="V36" s="3">
        <f t="shared" si="26"/>
        <v>45200</v>
      </c>
      <c r="W36" s="3">
        <f t="shared" si="26"/>
        <v>45231</v>
      </c>
      <c r="X36" s="3">
        <f t="shared" si="26"/>
        <v>45261</v>
      </c>
      <c r="Y36" s="3">
        <f t="shared" si="26"/>
        <v>45292</v>
      </c>
      <c r="Z36" s="3">
        <f t="shared" si="26"/>
        <v>45323</v>
      </c>
      <c r="AA36" s="3">
        <f t="shared" si="26"/>
        <v>45352</v>
      </c>
      <c r="AB36" s="3">
        <f t="shared" si="26"/>
        <v>45383</v>
      </c>
    </row>
    <row r="37" spans="1:28" ht="15.75">
      <c r="A37" s="137">
        <f t="shared" si="27"/>
        <v>3</v>
      </c>
      <c r="B37" s="102">
        <f t="shared" si="25"/>
        <v>0.1</v>
      </c>
      <c r="C37" s="102">
        <f t="shared" si="25"/>
        <v>0.1</v>
      </c>
      <c r="D37" s="102">
        <f t="shared" si="25"/>
        <v>0.1</v>
      </c>
      <c r="E37" s="102">
        <f t="shared" si="25"/>
        <v>0.1</v>
      </c>
      <c r="F37" s="102">
        <f t="shared" si="25"/>
        <v>0.1</v>
      </c>
      <c r="G37" s="102">
        <f t="shared" si="25"/>
        <v>0.1</v>
      </c>
      <c r="H37" s="102">
        <f t="shared" si="25"/>
        <v>0.1</v>
      </c>
      <c r="I37" s="102">
        <f t="shared" si="25"/>
        <v>0.1</v>
      </c>
      <c r="J37" s="102">
        <f t="shared" si="25"/>
        <v>0.1</v>
      </c>
      <c r="K37" s="102">
        <f t="shared" si="25"/>
        <v>0.1</v>
      </c>
      <c r="L37" s="102">
        <f t="shared" si="25"/>
        <v>0.1</v>
      </c>
      <c r="M37" s="102">
        <f t="shared" si="25"/>
        <v>0.1</v>
      </c>
      <c r="P37" s="137">
        <f t="shared" si="28"/>
        <v>3</v>
      </c>
      <c r="Q37" s="3">
        <f t="shared" si="29"/>
        <v>45413</v>
      </c>
      <c r="R37" s="3">
        <f t="shared" si="26"/>
        <v>45444</v>
      </c>
      <c r="S37" s="3">
        <f t="shared" si="26"/>
        <v>45474</v>
      </c>
      <c r="T37" s="3">
        <f t="shared" si="26"/>
        <v>45505</v>
      </c>
      <c r="U37" s="3">
        <f t="shared" si="26"/>
        <v>45536</v>
      </c>
      <c r="V37" s="3">
        <f t="shared" si="26"/>
        <v>45566</v>
      </c>
      <c r="W37" s="3">
        <f t="shared" si="26"/>
        <v>45597</v>
      </c>
      <c r="X37" s="3">
        <f t="shared" si="26"/>
        <v>45627</v>
      </c>
      <c r="Y37" s="3">
        <f t="shared" si="26"/>
        <v>45658</v>
      </c>
      <c r="Z37" s="3">
        <f t="shared" si="26"/>
        <v>45689</v>
      </c>
      <c r="AA37" s="3">
        <f t="shared" si="26"/>
        <v>45717</v>
      </c>
      <c r="AB37" s="3">
        <f t="shared" si="26"/>
        <v>45748</v>
      </c>
    </row>
    <row r="38" spans="1:28" ht="15.75">
      <c r="A38" s="137">
        <f t="shared" si="27"/>
        <v>4</v>
      </c>
      <c r="B38" s="102">
        <f t="shared" si="25"/>
        <v>0.1</v>
      </c>
      <c r="C38" s="102">
        <f t="shared" si="25"/>
        <v>0.1</v>
      </c>
      <c r="D38" s="102">
        <f t="shared" si="25"/>
        <v>0.1</v>
      </c>
      <c r="E38" s="102">
        <f t="shared" si="25"/>
        <v>0.1</v>
      </c>
      <c r="F38" s="102">
        <f t="shared" si="25"/>
        <v>0.1</v>
      </c>
      <c r="G38" s="102">
        <f t="shared" si="25"/>
        <v>0.1</v>
      </c>
      <c r="H38" s="102">
        <f t="shared" si="25"/>
        <v>0.1</v>
      </c>
      <c r="I38" s="102">
        <f t="shared" si="25"/>
        <v>0.1</v>
      </c>
      <c r="J38" s="102">
        <f t="shared" si="25"/>
        <v>0.1</v>
      </c>
      <c r="K38" s="102">
        <f t="shared" si="25"/>
        <v>0.1</v>
      </c>
      <c r="L38" s="102">
        <f t="shared" si="25"/>
        <v>0.1</v>
      </c>
      <c r="M38" s="102">
        <f t="shared" si="25"/>
        <v>0.1</v>
      </c>
      <c r="P38" s="137">
        <f t="shared" si="28"/>
        <v>4</v>
      </c>
      <c r="Q38" s="3">
        <f t="shared" si="29"/>
        <v>45778</v>
      </c>
      <c r="R38" s="3">
        <f t="shared" si="26"/>
        <v>45809</v>
      </c>
      <c r="S38" s="3">
        <f t="shared" si="26"/>
        <v>45839</v>
      </c>
      <c r="T38" s="3">
        <f t="shared" si="26"/>
        <v>45870</v>
      </c>
      <c r="U38" s="3">
        <f t="shared" si="26"/>
        <v>45901</v>
      </c>
      <c r="V38" s="3">
        <f t="shared" si="26"/>
        <v>45931</v>
      </c>
      <c r="W38" s="3">
        <f t="shared" si="26"/>
        <v>45962</v>
      </c>
      <c r="X38" s="3">
        <f t="shared" si="26"/>
        <v>45992</v>
      </c>
      <c r="Y38" s="3">
        <f t="shared" si="26"/>
        <v>46023</v>
      </c>
      <c r="Z38" s="3">
        <f t="shared" si="26"/>
        <v>46054</v>
      </c>
      <c r="AA38" s="3">
        <f t="shared" si="26"/>
        <v>46082</v>
      </c>
      <c r="AB38" s="3">
        <f t="shared" si="26"/>
        <v>46113</v>
      </c>
    </row>
    <row r="39" spans="1:28" ht="15.75">
      <c r="A39" s="137">
        <f t="shared" si="27"/>
        <v>5</v>
      </c>
      <c r="B39" s="102">
        <f t="shared" si="25"/>
        <v>0.1</v>
      </c>
      <c r="C39" s="102">
        <f t="shared" si="25"/>
        <v>0.1</v>
      </c>
      <c r="D39" s="102">
        <f t="shared" si="25"/>
        <v>0.1</v>
      </c>
      <c r="E39" s="102">
        <f t="shared" si="25"/>
        <v>0.1</v>
      </c>
      <c r="F39" s="102">
        <f t="shared" si="25"/>
        <v>0.1</v>
      </c>
      <c r="G39" s="102">
        <f t="shared" si="25"/>
        <v>0.1</v>
      </c>
      <c r="H39" s="102">
        <f t="shared" si="25"/>
        <v>0.1</v>
      </c>
      <c r="I39" s="102">
        <f t="shared" si="25"/>
        <v>0.1</v>
      </c>
      <c r="J39" s="102">
        <f t="shared" si="25"/>
        <v>0.1</v>
      </c>
      <c r="K39" s="102">
        <f t="shared" si="25"/>
        <v>0.1</v>
      </c>
      <c r="L39" s="102">
        <f t="shared" si="25"/>
        <v>0.1</v>
      </c>
      <c r="M39" s="102">
        <f t="shared" si="25"/>
        <v>0.1</v>
      </c>
      <c r="P39" s="137">
        <f t="shared" si="28"/>
        <v>5</v>
      </c>
      <c r="Q39" s="3">
        <f t="shared" si="29"/>
        <v>46143</v>
      </c>
      <c r="R39" s="3">
        <f t="shared" si="26"/>
        <v>46174</v>
      </c>
      <c r="S39" s="3">
        <f t="shared" si="26"/>
        <v>46204</v>
      </c>
      <c r="T39" s="3">
        <f t="shared" si="26"/>
        <v>46235</v>
      </c>
      <c r="U39" s="3">
        <f t="shared" si="26"/>
        <v>46266</v>
      </c>
      <c r="V39" s="3">
        <f t="shared" si="26"/>
        <v>46296</v>
      </c>
      <c r="W39" s="3">
        <f t="shared" si="26"/>
        <v>46327</v>
      </c>
      <c r="X39" s="3">
        <f t="shared" si="26"/>
        <v>46357</v>
      </c>
      <c r="Y39" s="3">
        <f t="shared" si="26"/>
        <v>46388</v>
      </c>
      <c r="Z39" s="3">
        <f t="shared" si="26"/>
        <v>46419</v>
      </c>
      <c r="AA39" s="3">
        <f t="shared" si="26"/>
        <v>46447</v>
      </c>
      <c r="AB39" s="3">
        <f t="shared" si="26"/>
        <v>46478</v>
      </c>
    </row>
    <row r="40" spans="1:28" ht="15.75">
      <c r="A40" s="137">
        <f t="shared" si="27"/>
        <v>6</v>
      </c>
      <c r="B40" s="102">
        <f t="shared" si="25"/>
        <v>0.1</v>
      </c>
      <c r="C40" s="102">
        <f t="shared" si="25"/>
        <v>0.1</v>
      </c>
      <c r="D40" s="102">
        <f t="shared" si="25"/>
        <v>0.1</v>
      </c>
      <c r="E40" s="102">
        <f t="shared" si="25"/>
        <v>0.1</v>
      </c>
      <c r="F40" s="102">
        <f t="shared" si="25"/>
        <v>0.1</v>
      </c>
      <c r="G40" s="102">
        <f t="shared" si="25"/>
        <v>0.1</v>
      </c>
      <c r="H40" s="102">
        <f t="shared" si="25"/>
        <v>0.1</v>
      </c>
      <c r="I40" s="102">
        <f t="shared" si="25"/>
        <v>0.1</v>
      </c>
      <c r="J40" s="102">
        <f t="shared" si="25"/>
        <v>0.1</v>
      </c>
      <c r="K40" s="102">
        <f t="shared" si="25"/>
        <v>0.1</v>
      </c>
      <c r="L40" s="102">
        <f t="shared" si="25"/>
        <v>0.1</v>
      </c>
      <c r="M40" s="102">
        <f t="shared" si="25"/>
        <v>0.1</v>
      </c>
      <c r="P40" s="137">
        <f t="shared" si="28"/>
        <v>6</v>
      </c>
      <c r="Q40" s="3">
        <f t="shared" si="29"/>
        <v>46508</v>
      </c>
      <c r="R40" s="3">
        <f t="shared" si="26"/>
        <v>46539</v>
      </c>
      <c r="S40" s="3">
        <f t="shared" si="26"/>
        <v>46569</v>
      </c>
      <c r="T40" s="3">
        <f t="shared" si="26"/>
        <v>46600</v>
      </c>
      <c r="U40" s="3">
        <f t="shared" si="26"/>
        <v>46631</v>
      </c>
      <c r="V40" s="3">
        <f t="shared" si="26"/>
        <v>46661</v>
      </c>
      <c r="W40" s="3">
        <f t="shared" si="26"/>
        <v>46692</v>
      </c>
      <c r="X40" s="3">
        <f t="shared" si="26"/>
        <v>46722</v>
      </c>
      <c r="Y40" s="3">
        <f t="shared" si="26"/>
        <v>46753</v>
      </c>
      <c r="Z40" s="3">
        <f t="shared" si="26"/>
        <v>46784</v>
      </c>
      <c r="AA40" s="3">
        <f t="shared" si="26"/>
        <v>46813</v>
      </c>
      <c r="AB40" s="3">
        <f t="shared" si="26"/>
        <v>46844</v>
      </c>
    </row>
    <row r="41" spans="1:28" ht="15.75">
      <c r="A41" s="137">
        <f t="shared" si="27"/>
        <v>7</v>
      </c>
      <c r="B41" s="102">
        <f t="shared" si="25"/>
        <v>0.1</v>
      </c>
      <c r="C41" s="102">
        <f t="shared" si="25"/>
        <v>0.1</v>
      </c>
      <c r="D41" s="102">
        <f t="shared" si="25"/>
        <v>0.1</v>
      </c>
      <c r="E41" s="102">
        <f t="shared" si="25"/>
        <v>0.1</v>
      </c>
      <c r="F41" s="102">
        <f t="shared" si="25"/>
        <v>0.1</v>
      </c>
      <c r="G41" s="102">
        <f t="shared" si="25"/>
        <v>0.1</v>
      </c>
      <c r="H41" s="102">
        <f t="shared" si="25"/>
        <v>0.1</v>
      </c>
      <c r="I41" s="102">
        <f t="shared" si="25"/>
        <v>0.1</v>
      </c>
      <c r="J41" s="102">
        <f t="shared" si="25"/>
        <v>0.1</v>
      </c>
      <c r="K41" s="102">
        <f t="shared" si="25"/>
        <v>0.1</v>
      </c>
      <c r="L41" s="102">
        <f t="shared" si="25"/>
        <v>0.1</v>
      </c>
      <c r="M41" s="102">
        <f t="shared" si="25"/>
        <v>0.1</v>
      </c>
      <c r="P41" s="137">
        <f t="shared" si="28"/>
        <v>7</v>
      </c>
      <c r="Q41" s="3">
        <f t="shared" si="29"/>
        <v>46874</v>
      </c>
      <c r="R41" s="3">
        <f t="shared" si="26"/>
        <v>46905</v>
      </c>
      <c r="S41" s="3">
        <f t="shared" si="26"/>
        <v>46935</v>
      </c>
      <c r="T41" s="3">
        <f t="shared" si="26"/>
        <v>46966</v>
      </c>
      <c r="U41" s="3">
        <f t="shared" si="26"/>
        <v>46997</v>
      </c>
      <c r="V41" s="3">
        <f t="shared" si="26"/>
        <v>47027</v>
      </c>
      <c r="W41" s="3">
        <f t="shared" si="26"/>
        <v>47058</v>
      </c>
      <c r="X41" s="3">
        <f t="shared" si="26"/>
        <v>47088</v>
      </c>
      <c r="Y41" s="3">
        <f t="shared" si="26"/>
        <v>47119</v>
      </c>
      <c r="Z41" s="3">
        <f t="shared" si="26"/>
        <v>47150</v>
      </c>
      <c r="AA41" s="3">
        <f t="shared" si="26"/>
        <v>47178</v>
      </c>
      <c r="AB41" s="3">
        <f t="shared" si="26"/>
        <v>47209</v>
      </c>
    </row>
    <row r="42" spans="1:28" ht="15.75">
      <c r="A42" s="137">
        <f t="shared" si="27"/>
        <v>8</v>
      </c>
      <c r="B42" s="102">
        <f t="shared" si="25"/>
        <v>0.1</v>
      </c>
      <c r="C42" s="102">
        <f t="shared" si="25"/>
        <v>0.1</v>
      </c>
      <c r="D42" s="102">
        <f t="shared" si="25"/>
        <v>0.1</v>
      </c>
      <c r="E42" s="102">
        <f t="shared" si="25"/>
        <v>0.1</v>
      </c>
      <c r="F42" s="102">
        <f t="shared" si="25"/>
        <v>0.1</v>
      </c>
      <c r="G42" s="102">
        <f t="shared" si="25"/>
        <v>0.1</v>
      </c>
      <c r="H42" s="102">
        <f t="shared" si="25"/>
        <v>0.1</v>
      </c>
      <c r="I42" s="102">
        <f t="shared" si="25"/>
        <v>0.1</v>
      </c>
      <c r="J42" s="102">
        <f t="shared" si="25"/>
        <v>0.1</v>
      </c>
      <c r="K42" s="102">
        <f t="shared" si="25"/>
        <v>0.1</v>
      </c>
      <c r="L42" s="102">
        <f t="shared" si="25"/>
        <v>0.1</v>
      </c>
      <c r="M42" s="102">
        <f t="shared" si="25"/>
        <v>0.1</v>
      </c>
      <c r="P42" s="137">
        <f t="shared" si="28"/>
        <v>8</v>
      </c>
      <c r="Q42" s="3">
        <f t="shared" si="29"/>
        <v>47239</v>
      </c>
      <c r="R42" s="3">
        <f t="shared" si="26"/>
        <v>47270</v>
      </c>
      <c r="S42" s="3">
        <f t="shared" si="26"/>
        <v>47300</v>
      </c>
      <c r="T42" s="3">
        <f t="shared" si="26"/>
        <v>47331</v>
      </c>
      <c r="U42" s="3">
        <f t="shared" si="26"/>
        <v>47362</v>
      </c>
      <c r="V42" s="3">
        <f t="shared" si="26"/>
        <v>47392</v>
      </c>
      <c r="W42" s="3">
        <f t="shared" si="26"/>
        <v>47423</v>
      </c>
      <c r="X42" s="3">
        <f t="shared" si="26"/>
        <v>47453</v>
      </c>
      <c r="Y42" s="3">
        <f t="shared" si="26"/>
        <v>47484</v>
      </c>
      <c r="Z42" s="3">
        <f t="shared" si="26"/>
        <v>47515</v>
      </c>
      <c r="AA42" s="3">
        <f t="shared" si="26"/>
        <v>47543</v>
      </c>
      <c r="AB42" s="3">
        <f t="shared" si="26"/>
        <v>47574</v>
      </c>
    </row>
    <row r="43" spans="1:28" ht="15.75">
      <c r="A43" s="137">
        <f t="shared" si="27"/>
        <v>9</v>
      </c>
      <c r="B43" s="102">
        <f t="shared" si="25"/>
        <v>0.1</v>
      </c>
      <c r="C43" s="102">
        <f t="shared" si="25"/>
        <v>0.1</v>
      </c>
      <c r="D43" s="102">
        <f t="shared" si="25"/>
        <v>0.1</v>
      </c>
      <c r="E43" s="102">
        <f t="shared" si="25"/>
        <v>0.1</v>
      </c>
      <c r="F43" s="102">
        <f t="shared" si="25"/>
        <v>0.1</v>
      </c>
      <c r="G43" s="102">
        <f t="shared" si="25"/>
        <v>0.1</v>
      </c>
      <c r="H43" s="102">
        <f t="shared" si="25"/>
        <v>0.1</v>
      </c>
      <c r="I43" s="102">
        <f t="shared" si="25"/>
        <v>0.1</v>
      </c>
      <c r="J43" s="102">
        <f t="shared" si="25"/>
        <v>0.1</v>
      </c>
      <c r="K43" s="102">
        <f t="shared" si="25"/>
        <v>0.1</v>
      </c>
      <c r="L43" s="102">
        <f t="shared" si="25"/>
        <v>0.1</v>
      </c>
      <c r="M43" s="102">
        <f t="shared" si="25"/>
        <v>0.1</v>
      </c>
      <c r="P43" s="137">
        <f t="shared" si="28"/>
        <v>9</v>
      </c>
      <c r="Q43" s="3">
        <f t="shared" si="29"/>
        <v>47604</v>
      </c>
      <c r="R43" s="3">
        <f t="shared" si="26"/>
        <v>47635</v>
      </c>
      <c r="S43" s="3">
        <f t="shared" si="26"/>
        <v>47665</v>
      </c>
      <c r="T43" s="3">
        <f t="shared" si="26"/>
        <v>47696</v>
      </c>
      <c r="U43" s="3">
        <f t="shared" si="26"/>
        <v>47727</v>
      </c>
      <c r="V43" s="3">
        <f t="shared" si="26"/>
        <v>47757</v>
      </c>
      <c r="W43" s="3">
        <f t="shared" si="26"/>
        <v>47788</v>
      </c>
      <c r="X43" s="3">
        <f t="shared" si="26"/>
        <v>47818</v>
      </c>
      <c r="Y43" s="3">
        <f t="shared" si="26"/>
        <v>47849</v>
      </c>
      <c r="Z43" s="3">
        <f t="shared" si="26"/>
        <v>47880</v>
      </c>
      <c r="AA43" s="3">
        <f t="shared" si="26"/>
        <v>47908</v>
      </c>
      <c r="AB43" s="3">
        <f t="shared" si="26"/>
        <v>47939</v>
      </c>
    </row>
    <row r="44" spans="1:28" ht="15.75">
      <c r="A44" s="137">
        <f t="shared" si="27"/>
        <v>10</v>
      </c>
      <c r="B44" s="102">
        <f t="shared" si="25"/>
        <v>0.1</v>
      </c>
      <c r="C44" s="102">
        <f t="shared" si="25"/>
        <v>0.1</v>
      </c>
      <c r="D44" s="102">
        <f t="shared" si="25"/>
        <v>0.1</v>
      </c>
      <c r="E44" s="102">
        <f t="shared" si="25"/>
        <v>0.1</v>
      </c>
      <c r="F44" s="102">
        <f t="shared" si="25"/>
        <v>0.1</v>
      </c>
      <c r="G44" s="102">
        <f t="shared" si="25"/>
        <v>0.1</v>
      </c>
      <c r="H44" s="102">
        <f t="shared" si="25"/>
        <v>0.1</v>
      </c>
      <c r="I44" s="102">
        <f t="shared" si="25"/>
        <v>0.1</v>
      </c>
      <c r="J44" s="102">
        <f t="shared" si="25"/>
        <v>0.1</v>
      </c>
      <c r="K44" s="102">
        <f t="shared" si="25"/>
        <v>0.1</v>
      </c>
      <c r="L44" s="102">
        <f t="shared" si="25"/>
        <v>0.1</v>
      </c>
      <c r="M44" s="102">
        <f t="shared" si="25"/>
        <v>0.1</v>
      </c>
      <c r="P44" s="137">
        <f t="shared" si="28"/>
        <v>10</v>
      </c>
      <c r="Q44" s="3">
        <f t="shared" si="29"/>
        <v>47969</v>
      </c>
      <c r="R44" s="3">
        <f t="shared" si="26"/>
        <v>48000</v>
      </c>
      <c r="S44" s="3">
        <f t="shared" si="26"/>
        <v>48030</v>
      </c>
      <c r="T44" s="3">
        <f t="shared" si="26"/>
        <v>48061</v>
      </c>
      <c r="U44" s="3">
        <f t="shared" si="26"/>
        <v>48092</v>
      </c>
      <c r="V44" s="3">
        <f t="shared" si="26"/>
        <v>48122</v>
      </c>
      <c r="W44" s="3">
        <f t="shared" si="26"/>
        <v>48153</v>
      </c>
      <c r="X44" s="3">
        <f t="shared" si="26"/>
        <v>48183</v>
      </c>
      <c r="Y44" s="3">
        <f t="shared" si="26"/>
        <v>48214</v>
      </c>
      <c r="Z44" s="3">
        <f t="shared" si="26"/>
        <v>48245</v>
      </c>
      <c r="AA44" s="3">
        <f t="shared" si="26"/>
        <v>48274</v>
      </c>
      <c r="AB44" s="3">
        <f t="shared" si="26"/>
        <v>48305</v>
      </c>
    </row>
    <row r="45" spans="1:28" ht="15.75">
      <c r="A45" s="137">
        <f t="shared" si="27"/>
        <v>11</v>
      </c>
      <c r="B45" s="102">
        <f t="shared" si="25"/>
        <v>0.1</v>
      </c>
      <c r="C45" s="102">
        <f t="shared" si="25"/>
        <v>0.1</v>
      </c>
      <c r="D45" s="102">
        <f t="shared" si="25"/>
        <v>0.1</v>
      </c>
      <c r="E45" s="102">
        <f t="shared" si="25"/>
        <v>0.1</v>
      </c>
      <c r="F45" s="102">
        <f t="shared" si="25"/>
        <v>0.1</v>
      </c>
      <c r="G45" s="102">
        <f t="shared" si="25"/>
        <v>0.1</v>
      </c>
      <c r="H45" s="102">
        <f t="shared" si="25"/>
        <v>0.1</v>
      </c>
      <c r="I45" s="102">
        <f t="shared" si="25"/>
        <v>0.1</v>
      </c>
      <c r="J45" s="102">
        <f t="shared" si="25"/>
        <v>0.1</v>
      </c>
      <c r="K45" s="102">
        <f t="shared" si="25"/>
        <v>0.1</v>
      </c>
      <c r="L45" s="102">
        <f t="shared" si="25"/>
        <v>0.1</v>
      </c>
      <c r="M45" s="102">
        <f t="shared" si="25"/>
        <v>0.1</v>
      </c>
      <c r="P45" s="137">
        <f t="shared" si="28"/>
        <v>11</v>
      </c>
      <c r="Q45" s="3">
        <f t="shared" si="29"/>
        <v>48335</v>
      </c>
      <c r="R45" s="3">
        <f t="shared" si="26"/>
        <v>48366</v>
      </c>
      <c r="S45" s="3">
        <f t="shared" si="26"/>
        <v>48396</v>
      </c>
      <c r="T45" s="3">
        <f t="shared" si="26"/>
        <v>48427</v>
      </c>
      <c r="U45" s="3">
        <f t="shared" si="26"/>
        <v>48458</v>
      </c>
      <c r="V45" s="3">
        <f t="shared" si="26"/>
        <v>48488</v>
      </c>
      <c r="W45" s="3">
        <f t="shared" si="26"/>
        <v>48519</v>
      </c>
      <c r="X45" s="3">
        <f t="shared" si="26"/>
        <v>48549</v>
      </c>
      <c r="Y45" s="3">
        <f t="shared" si="26"/>
        <v>48580</v>
      </c>
      <c r="Z45" s="3">
        <f t="shared" si="26"/>
        <v>48611</v>
      </c>
      <c r="AA45" s="3">
        <f t="shared" si="26"/>
        <v>48639</v>
      </c>
      <c r="AB45" s="3">
        <f t="shared" si="26"/>
        <v>48670</v>
      </c>
    </row>
    <row r="46" spans="1:28" ht="15.75">
      <c r="A46" s="137">
        <f t="shared" si="27"/>
        <v>12</v>
      </c>
      <c r="B46" s="102">
        <f t="shared" si="25"/>
        <v>0.1</v>
      </c>
      <c r="C46" s="102">
        <f t="shared" si="25"/>
        <v>0.1</v>
      </c>
      <c r="D46" s="102">
        <f t="shared" si="25"/>
        <v>0.1</v>
      </c>
      <c r="E46" s="102">
        <f t="shared" si="25"/>
        <v>0.1</v>
      </c>
      <c r="F46" s="102">
        <f t="shared" si="25"/>
        <v>0.1</v>
      </c>
      <c r="G46" s="102">
        <f t="shared" si="25"/>
        <v>0.1</v>
      </c>
      <c r="H46" s="102">
        <f t="shared" si="25"/>
        <v>0.1</v>
      </c>
      <c r="I46" s="102">
        <f t="shared" si="25"/>
        <v>0.1</v>
      </c>
      <c r="J46" s="102">
        <f t="shared" si="25"/>
        <v>0.1</v>
      </c>
      <c r="K46" s="102">
        <f t="shared" si="25"/>
        <v>0.1</v>
      </c>
      <c r="L46" s="102">
        <f t="shared" si="25"/>
        <v>0.1</v>
      </c>
      <c r="M46" s="102">
        <f t="shared" si="25"/>
        <v>0.1</v>
      </c>
      <c r="P46" s="137">
        <f t="shared" si="28"/>
        <v>12</v>
      </c>
      <c r="Q46" s="3">
        <f t="shared" si="29"/>
        <v>48700</v>
      </c>
      <c r="R46" s="3">
        <f t="shared" si="26"/>
        <v>48731</v>
      </c>
      <c r="S46" s="3">
        <f t="shared" si="26"/>
        <v>48761</v>
      </c>
      <c r="T46" s="3">
        <f t="shared" si="26"/>
        <v>48792</v>
      </c>
      <c r="U46" s="3">
        <f t="shared" si="26"/>
        <v>48823</v>
      </c>
      <c r="V46" s="3">
        <f t="shared" si="26"/>
        <v>48853</v>
      </c>
      <c r="W46" s="3">
        <f t="shared" si="26"/>
        <v>48884</v>
      </c>
      <c r="X46" s="3">
        <f t="shared" si="26"/>
        <v>48914</v>
      </c>
      <c r="Y46" s="3">
        <f t="shared" si="26"/>
        <v>48945</v>
      </c>
      <c r="Z46" s="3">
        <f t="shared" si="26"/>
        <v>48976</v>
      </c>
      <c r="AA46" s="3">
        <f t="shared" si="26"/>
        <v>49004</v>
      </c>
      <c r="AB46" s="3">
        <f t="shared" si="26"/>
        <v>49035</v>
      </c>
    </row>
    <row r="47" spans="1:28" ht="15.75">
      <c r="A47" s="137">
        <f t="shared" si="27"/>
        <v>13</v>
      </c>
      <c r="B47" s="102">
        <f t="shared" si="25"/>
        <v>0.1</v>
      </c>
      <c r="C47" s="102">
        <f t="shared" si="25"/>
        <v>0.1</v>
      </c>
      <c r="D47" s="102">
        <f t="shared" si="25"/>
        <v>0.1</v>
      </c>
      <c r="E47" s="102">
        <f t="shared" si="25"/>
        <v>0.1</v>
      </c>
      <c r="F47" s="102">
        <f t="shared" si="25"/>
        <v>0.1</v>
      </c>
      <c r="G47" s="102">
        <f t="shared" si="25"/>
        <v>0.1</v>
      </c>
      <c r="H47" s="102">
        <f t="shared" si="25"/>
        <v>0.1</v>
      </c>
      <c r="I47" s="102">
        <f t="shared" si="25"/>
        <v>0.1</v>
      </c>
      <c r="J47" s="102">
        <f t="shared" si="25"/>
        <v>0.1</v>
      </c>
      <c r="K47" s="102">
        <f t="shared" si="25"/>
        <v>0.1</v>
      </c>
      <c r="L47" s="102">
        <f t="shared" si="25"/>
        <v>0.1</v>
      </c>
      <c r="M47" s="102">
        <f t="shared" si="25"/>
        <v>0.1</v>
      </c>
      <c r="P47" s="137">
        <f t="shared" si="28"/>
        <v>13</v>
      </c>
      <c r="Q47" s="3">
        <f t="shared" si="29"/>
        <v>49065</v>
      </c>
      <c r="R47" s="3">
        <f t="shared" si="26"/>
        <v>49096</v>
      </c>
      <c r="S47" s="3">
        <f t="shared" si="26"/>
        <v>49126</v>
      </c>
      <c r="T47" s="3">
        <f t="shared" si="26"/>
        <v>49157</v>
      </c>
      <c r="U47" s="3">
        <f t="shared" si="26"/>
        <v>49188</v>
      </c>
      <c r="V47" s="3">
        <f t="shared" si="26"/>
        <v>49218</v>
      </c>
      <c r="W47" s="3">
        <f t="shared" si="26"/>
        <v>49249</v>
      </c>
      <c r="X47" s="3">
        <f t="shared" si="26"/>
        <v>49279</v>
      </c>
      <c r="Y47" s="3">
        <f t="shared" si="26"/>
        <v>49310</v>
      </c>
      <c r="Z47" s="3">
        <f t="shared" si="26"/>
        <v>49341</v>
      </c>
      <c r="AA47" s="3">
        <f t="shared" si="26"/>
        <v>49369</v>
      </c>
      <c r="AB47" s="3">
        <f t="shared" si="26"/>
        <v>49400</v>
      </c>
    </row>
    <row r="48" spans="1:28" ht="15.75">
      <c r="A48" s="137">
        <f t="shared" si="27"/>
        <v>14</v>
      </c>
      <c r="B48" s="102">
        <f t="shared" si="25"/>
        <v>0.1</v>
      </c>
      <c r="C48" s="102">
        <f t="shared" si="25"/>
        <v>0.1</v>
      </c>
      <c r="D48" s="102">
        <f t="shared" si="25"/>
        <v>0.1</v>
      </c>
      <c r="E48" s="102">
        <f t="shared" si="25"/>
        <v>0.1</v>
      </c>
      <c r="F48" s="102">
        <f t="shared" si="25"/>
        <v>0.1</v>
      </c>
      <c r="G48" s="102">
        <f t="shared" si="25"/>
        <v>0.1</v>
      </c>
      <c r="H48" s="102">
        <f t="shared" si="25"/>
        <v>0.1</v>
      </c>
      <c r="I48" s="102">
        <f t="shared" si="25"/>
        <v>0.1</v>
      </c>
      <c r="J48" s="102">
        <f t="shared" si="25"/>
        <v>0.1</v>
      </c>
      <c r="K48" s="102">
        <f t="shared" si="25"/>
        <v>0.1</v>
      </c>
      <c r="L48" s="102">
        <f t="shared" si="25"/>
        <v>0.1</v>
      </c>
      <c r="M48" s="102">
        <f t="shared" si="25"/>
        <v>0.1</v>
      </c>
      <c r="P48" s="137">
        <f t="shared" si="28"/>
        <v>14</v>
      </c>
      <c r="Q48" s="3">
        <f t="shared" si="29"/>
        <v>49430</v>
      </c>
      <c r="R48" s="3">
        <f t="shared" si="26"/>
        <v>49461</v>
      </c>
      <c r="S48" s="3">
        <f t="shared" si="26"/>
        <v>49491</v>
      </c>
      <c r="T48" s="3">
        <f t="shared" si="26"/>
        <v>49522</v>
      </c>
      <c r="U48" s="3">
        <f t="shared" si="26"/>
        <v>49553</v>
      </c>
      <c r="V48" s="3">
        <f t="shared" si="26"/>
        <v>49583</v>
      </c>
      <c r="W48" s="3">
        <f t="shared" si="26"/>
        <v>49614</v>
      </c>
      <c r="X48" s="3">
        <f t="shared" si="26"/>
        <v>49644</v>
      </c>
      <c r="Y48" s="3">
        <f t="shared" si="26"/>
        <v>49675</v>
      </c>
      <c r="Z48" s="3">
        <f t="shared" si="26"/>
        <v>49706</v>
      </c>
      <c r="AA48" s="3">
        <f t="shared" si="26"/>
        <v>49735</v>
      </c>
      <c r="AB48" s="3">
        <f t="shared" si="26"/>
        <v>49766</v>
      </c>
    </row>
    <row r="49" spans="1:28" ht="15.75">
      <c r="A49" s="137">
        <f t="shared" si="27"/>
        <v>15</v>
      </c>
      <c r="B49" s="102">
        <f t="shared" si="25"/>
        <v>0.1</v>
      </c>
      <c r="C49" s="102">
        <f t="shared" si="25"/>
        <v>0.1</v>
      </c>
      <c r="D49" s="102">
        <f t="shared" si="25"/>
        <v>0.1</v>
      </c>
      <c r="E49" s="102">
        <f t="shared" si="25"/>
        <v>0.1</v>
      </c>
      <c r="F49" s="102">
        <f t="shared" si="25"/>
        <v>0.1</v>
      </c>
      <c r="G49" s="102">
        <f t="shared" si="25"/>
        <v>0.1</v>
      </c>
      <c r="H49" s="102">
        <f t="shared" si="25"/>
        <v>0.1</v>
      </c>
      <c r="I49" s="102">
        <f t="shared" si="25"/>
        <v>0.1</v>
      </c>
      <c r="J49" s="102">
        <f t="shared" si="25"/>
        <v>0.1</v>
      </c>
      <c r="K49" s="102">
        <f t="shared" si="25"/>
        <v>0.1</v>
      </c>
      <c r="L49" s="102">
        <f t="shared" si="25"/>
        <v>0.1</v>
      </c>
      <c r="M49" s="102">
        <f t="shared" si="25"/>
        <v>0.1</v>
      </c>
      <c r="P49" s="137">
        <f t="shared" si="28"/>
        <v>15</v>
      </c>
      <c r="Q49" s="3">
        <f t="shared" si="29"/>
        <v>49796</v>
      </c>
      <c r="R49" s="3">
        <f t="shared" si="26"/>
        <v>49827</v>
      </c>
      <c r="S49" s="3">
        <f t="shared" si="26"/>
        <v>49857</v>
      </c>
      <c r="T49" s="3">
        <f t="shared" si="26"/>
        <v>49888</v>
      </c>
      <c r="U49" s="3">
        <f t="shared" si="26"/>
        <v>49919</v>
      </c>
      <c r="V49" s="3">
        <f t="shared" si="26"/>
        <v>49949</v>
      </c>
      <c r="W49" s="3">
        <f t="shared" si="26"/>
        <v>49980</v>
      </c>
      <c r="X49" s="3">
        <f t="shared" si="26"/>
        <v>50010</v>
      </c>
      <c r="Y49" s="3">
        <f t="shared" si="26"/>
        <v>50041</v>
      </c>
      <c r="Z49" s="3">
        <f t="shared" si="26"/>
        <v>50072</v>
      </c>
      <c r="AA49" s="3">
        <f t="shared" si="26"/>
        <v>50100</v>
      </c>
      <c r="AB49" s="3">
        <f t="shared" si="26"/>
        <v>50131</v>
      </c>
    </row>
    <row r="50" spans="1:28" ht="15.75">
      <c r="A50" s="137">
        <f t="shared" si="27"/>
        <v>16</v>
      </c>
      <c r="B50" s="102">
        <f t="shared" si="25"/>
        <v>0.1</v>
      </c>
      <c r="C50" s="102">
        <f t="shared" si="25"/>
        <v>0.1</v>
      </c>
      <c r="D50" s="102">
        <f t="shared" si="25"/>
        <v>0.1</v>
      </c>
      <c r="E50" s="102">
        <f t="shared" si="25"/>
        <v>0.1</v>
      </c>
      <c r="F50" s="102">
        <f t="shared" si="25"/>
        <v>0.1</v>
      </c>
      <c r="G50" s="102">
        <f t="shared" si="25"/>
        <v>0.1</v>
      </c>
      <c r="H50" s="102">
        <f t="shared" si="25"/>
        <v>0.1</v>
      </c>
      <c r="I50" s="102">
        <f t="shared" si="25"/>
        <v>0.1</v>
      </c>
      <c r="J50" s="102">
        <f t="shared" si="25"/>
        <v>0.1</v>
      </c>
      <c r="K50" s="102">
        <f t="shared" si="25"/>
        <v>0.1</v>
      </c>
      <c r="L50" s="102">
        <f t="shared" si="25"/>
        <v>0.1</v>
      </c>
      <c r="M50" s="102">
        <f t="shared" si="25"/>
        <v>0.1</v>
      </c>
      <c r="P50" s="137">
        <f t="shared" si="28"/>
        <v>16</v>
      </c>
      <c r="Q50" s="3">
        <f t="shared" si="29"/>
        <v>50161</v>
      </c>
      <c r="R50" s="3">
        <f t="shared" si="26"/>
        <v>50192</v>
      </c>
      <c r="S50" s="3">
        <f t="shared" si="26"/>
        <v>50222</v>
      </c>
      <c r="T50" s="3">
        <f t="shared" si="26"/>
        <v>50253</v>
      </c>
      <c r="U50" s="3">
        <f t="shared" si="26"/>
        <v>50284</v>
      </c>
      <c r="V50" s="3">
        <f t="shared" si="26"/>
        <v>50314</v>
      </c>
      <c r="W50" s="3">
        <f t="shared" si="26"/>
        <v>50345</v>
      </c>
      <c r="X50" s="3">
        <f t="shared" si="26"/>
        <v>50375</v>
      </c>
      <c r="Y50" s="3">
        <f t="shared" si="26"/>
        <v>50406</v>
      </c>
      <c r="Z50" s="3">
        <f t="shared" si="26"/>
        <v>50437</v>
      </c>
      <c r="AA50" s="3">
        <f t="shared" si="26"/>
        <v>50465</v>
      </c>
      <c r="AB50" s="3">
        <f t="shared" si="26"/>
        <v>50496</v>
      </c>
    </row>
    <row r="51" spans="1:28" ht="15.75">
      <c r="A51" s="137">
        <f t="shared" si="27"/>
        <v>17</v>
      </c>
      <c r="B51" s="102">
        <f t="shared" si="25"/>
        <v>0.1</v>
      </c>
      <c r="C51" s="102">
        <f t="shared" si="25"/>
        <v>0.1</v>
      </c>
      <c r="D51" s="102">
        <f t="shared" si="25"/>
        <v>0.1</v>
      </c>
      <c r="E51" s="102">
        <f t="shared" si="25"/>
        <v>0.1</v>
      </c>
      <c r="F51" s="102">
        <f t="shared" si="25"/>
        <v>0.1</v>
      </c>
      <c r="G51" s="102">
        <f t="shared" si="25"/>
        <v>0.1</v>
      </c>
      <c r="H51" s="102">
        <f t="shared" si="25"/>
        <v>0.1</v>
      </c>
      <c r="I51" s="102">
        <f t="shared" si="25"/>
        <v>0.1</v>
      </c>
      <c r="J51" s="102">
        <f t="shared" si="25"/>
        <v>0.1</v>
      </c>
      <c r="K51" s="102">
        <f t="shared" si="25"/>
        <v>0.1</v>
      </c>
      <c r="L51" s="102">
        <f t="shared" si="25"/>
        <v>0.1</v>
      </c>
      <c r="M51" s="102">
        <f t="shared" si="25"/>
        <v>0.1</v>
      </c>
      <c r="P51" s="137">
        <f t="shared" si="28"/>
        <v>17</v>
      </c>
      <c r="Q51" s="3">
        <f t="shared" si="29"/>
        <v>50526</v>
      </c>
      <c r="R51" s="3">
        <f t="shared" si="26"/>
        <v>50557</v>
      </c>
      <c r="S51" s="3">
        <f t="shared" si="26"/>
        <v>50587</v>
      </c>
      <c r="T51" s="3">
        <f t="shared" si="26"/>
        <v>50618</v>
      </c>
      <c r="U51" s="3">
        <f t="shared" si="26"/>
        <v>50649</v>
      </c>
      <c r="V51" s="3">
        <f t="shared" si="26"/>
        <v>50679</v>
      </c>
      <c r="W51" s="3">
        <f t="shared" si="26"/>
        <v>50710</v>
      </c>
      <c r="X51" s="3">
        <f t="shared" si="26"/>
        <v>50740</v>
      </c>
      <c r="Y51" s="3">
        <f t="shared" si="26"/>
        <v>50771</v>
      </c>
      <c r="Z51" s="3">
        <f t="shared" si="26"/>
        <v>50802</v>
      </c>
      <c r="AA51" s="3">
        <f t="shared" si="26"/>
        <v>50830</v>
      </c>
      <c r="AB51" s="3">
        <f t="shared" si="26"/>
        <v>50861</v>
      </c>
    </row>
    <row r="52" spans="1:28" ht="15.75">
      <c r="A52" s="137">
        <f t="shared" si="27"/>
        <v>18</v>
      </c>
      <c r="B52" s="102">
        <f t="shared" si="25"/>
        <v>0.1</v>
      </c>
      <c r="C52" s="102">
        <f t="shared" si="25"/>
        <v>0.1</v>
      </c>
      <c r="D52" s="102">
        <f t="shared" si="25"/>
        <v>0.1</v>
      </c>
      <c r="E52" s="102">
        <f t="shared" si="25"/>
        <v>0.1</v>
      </c>
      <c r="F52" s="102">
        <f t="shared" si="25"/>
        <v>0.1</v>
      </c>
      <c r="G52" s="102">
        <f t="shared" si="25"/>
        <v>0.1</v>
      </c>
      <c r="H52" s="102">
        <f t="shared" si="25"/>
        <v>0.1</v>
      </c>
      <c r="I52" s="102">
        <f t="shared" si="25"/>
        <v>0.1</v>
      </c>
      <c r="J52" s="102">
        <f t="shared" si="25"/>
        <v>0.1</v>
      </c>
      <c r="K52" s="102">
        <f t="shared" si="25"/>
        <v>0.1</v>
      </c>
      <c r="L52" s="102">
        <f t="shared" si="25"/>
        <v>0.1</v>
      </c>
      <c r="M52" s="102">
        <f t="shared" si="25"/>
        <v>0.1</v>
      </c>
      <c r="P52" s="137">
        <f t="shared" si="28"/>
        <v>18</v>
      </c>
      <c r="Q52" s="3">
        <f t="shared" si="29"/>
        <v>50891</v>
      </c>
      <c r="R52" s="3">
        <f t="shared" si="26"/>
        <v>50922</v>
      </c>
      <c r="S52" s="3">
        <f t="shared" si="26"/>
        <v>50952</v>
      </c>
      <c r="T52" s="3">
        <f t="shared" si="26"/>
        <v>50983</v>
      </c>
      <c r="U52" s="3">
        <f t="shared" si="26"/>
        <v>51014</v>
      </c>
      <c r="V52" s="3">
        <f t="shared" si="26"/>
        <v>51044</v>
      </c>
      <c r="W52" s="3">
        <f t="shared" si="26"/>
        <v>51075</v>
      </c>
      <c r="X52" s="3">
        <f t="shared" si="26"/>
        <v>51105</v>
      </c>
      <c r="Y52" s="3">
        <f t="shared" si="26"/>
        <v>51136</v>
      </c>
      <c r="Z52" s="3">
        <f t="shared" si="26"/>
        <v>51167</v>
      </c>
      <c r="AA52" s="3">
        <f t="shared" si="26"/>
        <v>51196</v>
      </c>
      <c r="AB52" s="3">
        <f t="shared" si="26"/>
        <v>51227</v>
      </c>
    </row>
    <row r="53" spans="1:28" ht="15.75">
      <c r="A53" s="137">
        <f t="shared" si="27"/>
        <v>19</v>
      </c>
      <c r="B53" s="102">
        <f t="shared" si="25"/>
        <v>0.1</v>
      </c>
      <c r="C53" s="102">
        <f t="shared" si="25"/>
        <v>0.1</v>
      </c>
      <c r="D53" s="102">
        <f t="shared" si="25"/>
        <v>0.1</v>
      </c>
      <c r="E53" s="102">
        <f t="shared" si="25"/>
        <v>0.1</v>
      </c>
      <c r="F53" s="102">
        <f t="shared" si="25"/>
        <v>0.1</v>
      </c>
      <c r="G53" s="102">
        <f t="shared" si="25"/>
        <v>0.1</v>
      </c>
      <c r="H53" s="102">
        <f t="shared" si="25"/>
        <v>0.1</v>
      </c>
      <c r="I53" s="102">
        <f t="shared" si="25"/>
        <v>0.1</v>
      </c>
      <c r="J53" s="102">
        <f t="shared" si="25"/>
        <v>0.1</v>
      </c>
      <c r="K53" s="102">
        <f t="shared" si="25"/>
        <v>0.1</v>
      </c>
      <c r="L53" s="102">
        <f t="shared" si="25"/>
        <v>0.1</v>
      </c>
      <c r="M53" s="102">
        <f t="shared" si="25"/>
        <v>0.1</v>
      </c>
      <c r="P53" s="137">
        <f t="shared" si="28"/>
        <v>19</v>
      </c>
      <c r="Q53" s="3">
        <f t="shared" si="29"/>
        <v>51257</v>
      </c>
      <c r="R53" s="3">
        <f t="shared" si="26"/>
        <v>51288</v>
      </c>
      <c r="S53" s="3">
        <f t="shared" si="26"/>
        <v>51318</v>
      </c>
      <c r="T53" s="3">
        <f t="shared" si="26"/>
        <v>51349</v>
      </c>
      <c r="U53" s="3">
        <f t="shared" si="26"/>
        <v>51380</v>
      </c>
      <c r="V53" s="3">
        <f t="shared" si="26"/>
        <v>51410</v>
      </c>
      <c r="W53" s="3">
        <f t="shared" si="26"/>
        <v>51441</v>
      </c>
      <c r="X53" s="3">
        <f t="shared" si="26"/>
        <v>51471</v>
      </c>
      <c r="Y53" s="3">
        <f t="shared" si="26"/>
        <v>51502</v>
      </c>
      <c r="Z53" s="3">
        <f t="shared" si="26"/>
        <v>51533</v>
      </c>
      <c r="AA53" s="3">
        <f t="shared" si="26"/>
        <v>51561</v>
      </c>
      <c r="AB53" s="3">
        <f t="shared" si="26"/>
        <v>51592</v>
      </c>
    </row>
    <row r="54" spans="1:28" ht="15.75">
      <c r="A54" s="137">
        <f t="shared" si="27"/>
        <v>20</v>
      </c>
      <c r="B54" s="102">
        <f t="shared" si="25"/>
        <v>0.1</v>
      </c>
      <c r="C54" s="102">
        <f t="shared" si="25"/>
        <v>0.1</v>
      </c>
      <c r="D54" s="102">
        <f t="shared" si="25"/>
        <v>0.1</v>
      </c>
      <c r="E54" s="102">
        <f t="shared" si="25"/>
        <v>0.1</v>
      </c>
      <c r="F54" s="102">
        <f t="shared" si="25"/>
        <v>0.1</v>
      </c>
      <c r="G54" s="102">
        <f t="shared" si="25"/>
        <v>0.1</v>
      </c>
      <c r="H54" s="102">
        <f t="shared" si="25"/>
        <v>0.1</v>
      </c>
      <c r="I54" s="102">
        <f t="shared" si="25"/>
        <v>0.1</v>
      </c>
      <c r="J54" s="102">
        <f t="shared" si="25"/>
        <v>0.1</v>
      </c>
      <c r="K54" s="102">
        <f t="shared" si="25"/>
        <v>0.1</v>
      </c>
      <c r="L54" s="102">
        <f t="shared" si="25"/>
        <v>0.1</v>
      </c>
      <c r="M54" s="102">
        <f t="shared" si="25"/>
        <v>0.1</v>
      </c>
      <c r="P54" s="137">
        <f t="shared" si="28"/>
        <v>20</v>
      </c>
      <c r="Q54" s="3">
        <f t="shared" si="29"/>
        <v>51622</v>
      </c>
      <c r="R54" s="3">
        <f t="shared" si="26"/>
        <v>51653</v>
      </c>
      <c r="S54" s="3">
        <f t="shared" si="26"/>
        <v>51683</v>
      </c>
      <c r="T54" s="3">
        <f t="shared" si="26"/>
        <v>51714</v>
      </c>
      <c r="U54" s="3">
        <f t="shared" si="26"/>
        <v>51745</v>
      </c>
      <c r="V54" s="3">
        <f t="shared" si="26"/>
        <v>51775</v>
      </c>
      <c r="W54" s="3">
        <f t="shared" si="26"/>
        <v>51806</v>
      </c>
      <c r="X54" s="3">
        <f t="shared" si="26"/>
        <v>51836</v>
      </c>
      <c r="Y54" s="3">
        <f t="shared" si="26"/>
        <v>51867</v>
      </c>
      <c r="Z54" s="3">
        <f t="shared" si="26"/>
        <v>51898</v>
      </c>
      <c r="AA54" s="3">
        <f t="shared" si="26"/>
        <v>51926</v>
      </c>
      <c r="AB54" s="3">
        <f t="shared" si="26"/>
        <v>51957</v>
      </c>
    </row>
    <row r="56" spans="1:14" ht="15.75">
      <c r="A56" t="s">
        <v>289</v>
      </c>
      <c r="B56" s="107">
        <f aca="true" t="shared" si="30" ref="B56:M56">B12</f>
        <v>5</v>
      </c>
      <c r="C56" s="107">
        <f t="shared" si="30"/>
        <v>6</v>
      </c>
      <c r="D56" s="107">
        <f t="shared" si="30"/>
        <v>7</v>
      </c>
      <c r="E56" s="107">
        <f t="shared" si="30"/>
        <v>8</v>
      </c>
      <c r="F56" s="107">
        <f t="shared" si="30"/>
        <v>9</v>
      </c>
      <c r="G56" s="107">
        <f t="shared" si="30"/>
        <v>10</v>
      </c>
      <c r="H56" s="107">
        <f t="shared" si="30"/>
        <v>11</v>
      </c>
      <c r="I56" s="107">
        <f t="shared" si="30"/>
        <v>12</v>
      </c>
      <c r="J56" s="107">
        <f t="shared" si="30"/>
        <v>1</v>
      </c>
      <c r="K56" s="107">
        <f t="shared" si="30"/>
        <v>2</v>
      </c>
      <c r="L56" s="107">
        <f t="shared" si="30"/>
        <v>3</v>
      </c>
      <c r="M56" s="107">
        <f t="shared" si="30"/>
        <v>4</v>
      </c>
      <c r="N56" s="109" t="s">
        <v>110</v>
      </c>
    </row>
    <row r="57" spans="1:14" ht="15.75">
      <c r="A57" s="137">
        <v>1</v>
      </c>
      <c r="B57" s="190">
        <f aca="true" t="shared" si="31" ref="B57:M76">IF(ISERROR(ROUNDDOWN($B$2*B13*(1+B35),0)),0,ROUNDDOWN($B$2*B13*(1+B35),0))</f>
        <v>274446</v>
      </c>
      <c r="C57" s="190">
        <f t="shared" si="31"/>
        <v>221328</v>
      </c>
      <c r="D57" s="190">
        <f t="shared" si="31"/>
        <v>182964</v>
      </c>
      <c r="E57" s="190">
        <f t="shared" si="31"/>
        <v>182964</v>
      </c>
      <c r="F57" s="190">
        <f t="shared" si="31"/>
        <v>265593</v>
      </c>
      <c r="G57" s="190">
        <f t="shared" si="31"/>
        <v>365929</v>
      </c>
      <c r="H57" s="190">
        <f t="shared" si="31"/>
        <v>442656</v>
      </c>
      <c r="I57" s="190">
        <f t="shared" si="31"/>
        <v>457411</v>
      </c>
      <c r="J57" s="190">
        <f t="shared" si="31"/>
        <v>571764</v>
      </c>
      <c r="K57" s="190">
        <f t="shared" si="31"/>
        <v>475117</v>
      </c>
      <c r="L57" s="190">
        <f t="shared" si="31"/>
        <v>457411</v>
      </c>
      <c r="M57" s="190">
        <f t="shared" si="31"/>
        <v>265593</v>
      </c>
      <c r="N57" s="190">
        <f aca="true" t="shared" si="32" ref="N57:N76">SUM(B57:M57)</f>
        <v>4163176</v>
      </c>
    </row>
    <row r="58" spans="1:14" ht="15.75">
      <c r="A58" s="137">
        <f aca="true" t="shared" si="33" ref="A58:A76">IF(A57&lt;$B$3,A57+1,"")</f>
        <v>2</v>
      </c>
      <c r="B58" s="190">
        <f t="shared" si="31"/>
        <v>274446</v>
      </c>
      <c r="C58" s="190">
        <f t="shared" si="31"/>
        <v>221328</v>
      </c>
      <c r="D58" s="190">
        <f t="shared" si="31"/>
        <v>182964</v>
      </c>
      <c r="E58" s="190">
        <f t="shared" si="31"/>
        <v>182964</v>
      </c>
      <c r="F58" s="190">
        <f t="shared" si="31"/>
        <v>265593</v>
      </c>
      <c r="G58" s="190">
        <f t="shared" si="31"/>
        <v>365929</v>
      </c>
      <c r="H58" s="190">
        <f t="shared" si="31"/>
        <v>442656</v>
      </c>
      <c r="I58" s="190">
        <f t="shared" si="31"/>
        <v>457411</v>
      </c>
      <c r="J58" s="190">
        <f t="shared" si="31"/>
        <v>571764</v>
      </c>
      <c r="K58" s="190">
        <f t="shared" si="31"/>
        <v>475117</v>
      </c>
      <c r="L58" s="190">
        <f t="shared" si="31"/>
        <v>457411</v>
      </c>
      <c r="M58" s="190">
        <f t="shared" si="31"/>
        <v>265593</v>
      </c>
      <c r="N58" s="190">
        <f t="shared" si="32"/>
        <v>4163176</v>
      </c>
    </row>
    <row r="59" spans="1:14" ht="15.75">
      <c r="A59" s="137">
        <f t="shared" si="33"/>
        <v>3</v>
      </c>
      <c r="B59" s="190">
        <f t="shared" si="31"/>
        <v>274446</v>
      </c>
      <c r="C59" s="190">
        <f t="shared" si="31"/>
        <v>221328</v>
      </c>
      <c r="D59" s="190">
        <f t="shared" si="31"/>
        <v>182964</v>
      </c>
      <c r="E59" s="190">
        <f t="shared" si="31"/>
        <v>182964</v>
      </c>
      <c r="F59" s="190">
        <f t="shared" si="31"/>
        <v>265593</v>
      </c>
      <c r="G59" s="190">
        <f t="shared" si="31"/>
        <v>365929</v>
      </c>
      <c r="H59" s="190">
        <f t="shared" si="31"/>
        <v>442656</v>
      </c>
      <c r="I59" s="190">
        <f t="shared" si="31"/>
        <v>457411</v>
      </c>
      <c r="J59" s="190">
        <f t="shared" si="31"/>
        <v>571764</v>
      </c>
      <c r="K59" s="190">
        <f t="shared" si="31"/>
        <v>475117</v>
      </c>
      <c r="L59" s="190">
        <f t="shared" si="31"/>
        <v>457411</v>
      </c>
      <c r="M59" s="190">
        <f t="shared" si="31"/>
        <v>265593</v>
      </c>
      <c r="N59" s="190">
        <f t="shared" si="32"/>
        <v>4163176</v>
      </c>
    </row>
    <row r="60" spans="1:14" ht="15.75">
      <c r="A60" s="137">
        <f t="shared" si="33"/>
        <v>4</v>
      </c>
      <c r="B60" s="190">
        <f t="shared" si="31"/>
        <v>274446</v>
      </c>
      <c r="C60" s="190">
        <f t="shared" si="31"/>
        <v>221328</v>
      </c>
      <c r="D60" s="190">
        <f t="shared" si="31"/>
        <v>182964</v>
      </c>
      <c r="E60" s="190">
        <f t="shared" si="31"/>
        <v>182964</v>
      </c>
      <c r="F60" s="190">
        <f t="shared" si="31"/>
        <v>265593</v>
      </c>
      <c r="G60" s="190">
        <f t="shared" si="31"/>
        <v>365929</v>
      </c>
      <c r="H60" s="190">
        <f t="shared" si="31"/>
        <v>442656</v>
      </c>
      <c r="I60" s="190">
        <f t="shared" si="31"/>
        <v>457411</v>
      </c>
      <c r="J60" s="190">
        <f t="shared" si="31"/>
        <v>571764</v>
      </c>
      <c r="K60" s="190">
        <f t="shared" si="31"/>
        <v>475117</v>
      </c>
      <c r="L60" s="190">
        <f t="shared" si="31"/>
        <v>457411</v>
      </c>
      <c r="M60" s="190">
        <f t="shared" si="31"/>
        <v>265593</v>
      </c>
      <c r="N60" s="190">
        <f t="shared" si="32"/>
        <v>4163176</v>
      </c>
    </row>
    <row r="61" spans="1:14" ht="15.75">
      <c r="A61" s="137">
        <f t="shared" si="33"/>
        <v>5</v>
      </c>
      <c r="B61" s="190">
        <f t="shared" si="31"/>
        <v>274446</v>
      </c>
      <c r="C61" s="190">
        <f t="shared" si="31"/>
        <v>221328</v>
      </c>
      <c r="D61" s="190">
        <f t="shared" si="31"/>
        <v>182964</v>
      </c>
      <c r="E61" s="190">
        <f t="shared" si="31"/>
        <v>182964</v>
      </c>
      <c r="F61" s="190">
        <f t="shared" si="31"/>
        <v>265593</v>
      </c>
      <c r="G61" s="190">
        <f t="shared" si="31"/>
        <v>365929</v>
      </c>
      <c r="H61" s="190">
        <f t="shared" si="31"/>
        <v>442656</v>
      </c>
      <c r="I61" s="190">
        <f t="shared" si="31"/>
        <v>457411</v>
      </c>
      <c r="J61" s="190">
        <f t="shared" si="31"/>
        <v>571764</v>
      </c>
      <c r="K61" s="190">
        <f t="shared" si="31"/>
        <v>475117</v>
      </c>
      <c r="L61" s="190">
        <f t="shared" si="31"/>
        <v>457411</v>
      </c>
      <c r="M61" s="190">
        <f t="shared" si="31"/>
        <v>265593</v>
      </c>
      <c r="N61" s="190">
        <f t="shared" si="32"/>
        <v>4163176</v>
      </c>
    </row>
    <row r="62" spans="1:14" ht="15.75">
      <c r="A62" s="137">
        <f t="shared" si="33"/>
        <v>6</v>
      </c>
      <c r="B62" s="190">
        <f t="shared" si="31"/>
        <v>274446</v>
      </c>
      <c r="C62" s="190">
        <f t="shared" si="31"/>
        <v>221328</v>
      </c>
      <c r="D62" s="190">
        <f t="shared" si="31"/>
        <v>182964</v>
      </c>
      <c r="E62" s="190">
        <f t="shared" si="31"/>
        <v>182964</v>
      </c>
      <c r="F62" s="190">
        <f t="shared" si="31"/>
        <v>265593</v>
      </c>
      <c r="G62" s="190">
        <f t="shared" si="31"/>
        <v>365929</v>
      </c>
      <c r="H62" s="190">
        <f t="shared" si="31"/>
        <v>442656</v>
      </c>
      <c r="I62" s="190">
        <f t="shared" si="31"/>
        <v>457411</v>
      </c>
      <c r="J62" s="190">
        <f t="shared" si="31"/>
        <v>571764</v>
      </c>
      <c r="K62" s="190">
        <f t="shared" si="31"/>
        <v>475117</v>
      </c>
      <c r="L62" s="190">
        <f t="shared" si="31"/>
        <v>457411</v>
      </c>
      <c r="M62" s="190">
        <f t="shared" si="31"/>
        <v>265593</v>
      </c>
      <c r="N62" s="190">
        <f t="shared" si="32"/>
        <v>4163176</v>
      </c>
    </row>
    <row r="63" spans="1:14" ht="15.75">
      <c r="A63" s="137">
        <f t="shared" si="33"/>
        <v>7</v>
      </c>
      <c r="B63" s="190">
        <f t="shared" si="31"/>
        <v>274446</v>
      </c>
      <c r="C63" s="190">
        <f t="shared" si="31"/>
        <v>221328</v>
      </c>
      <c r="D63" s="190">
        <f t="shared" si="31"/>
        <v>182964</v>
      </c>
      <c r="E63" s="190">
        <f t="shared" si="31"/>
        <v>182964</v>
      </c>
      <c r="F63" s="190">
        <f t="shared" si="31"/>
        <v>265593</v>
      </c>
      <c r="G63" s="190">
        <f t="shared" si="31"/>
        <v>365929</v>
      </c>
      <c r="H63" s="190">
        <f t="shared" si="31"/>
        <v>442656</v>
      </c>
      <c r="I63" s="190">
        <f t="shared" si="31"/>
        <v>457411</v>
      </c>
      <c r="J63" s="190">
        <f t="shared" si="31"/>
        <v>571764</v>
      </c>
      <c r="K63" s="190">
        <f t="shared" si="31"/>
        <v>475117</v>
      </c>
      <c r="L63" s="190">
        <f t="shared" si="31"/>
        <v>457411</v>
      </c>
      <c r="M63" s="190">
        <f t="shared" si="31"/>
        <v>265593</v>
      </c>
      <c r="N63" s="190">
        <f t="shared" si="32"/>
        <v>4163176</v>
      </c>
    </row>
    <row r="64" spans="1:14" ht="15.75">
      <c r="A64" s="137">
        <f t="shared" si="33"/>
        <v>8</v>
      </c>
      <c r="B64" s="190">
        <f t="shared" si="31"/>
        <v>274446</v>
      </c>
      <c r="C64" s="190">
        <f t="shared" si="31"/>
        <v>221328</v>
      </c>
      <c r="D64" s="190">
        <f t="shared" si="31"/>
        <v>182964</v>
      </c>
      <c r="E64" s="190">
        <f t="shared" si="31"/>
        <v>182964</v>
      </c>
      <c r="F64" s="190">
        <f t="shared" si="31"/>
        <v>265593</v>
      </c>
      <c r="G64" s="190">
        <f t="shared" si="31"/>
        <v>365929</v>
      </c>
      <c r="H64" s="190">
        <f t="shared" si="31"/>
        <v>442656</v>
      </c>
      <c r="I64" s="190">
        <f t="shared" si="31"/>
        <v>457411</v>
      </c>
      <c r="J64" s="190">
        <f t="shared" si="31"/>
        <v>571764</v>
      </c>
      <c r="K64" s="190">
        <f t="shared" si="31"/>
        <v>475117</v>
      </c>
      <c r="L64" s="190">
        <f t="shared" si="31"/>
        <v>457411</v>
      </c>
      <c r="M64" s="190">
        <f t="shared" si="31"/>
        <v>265593</v>
      </c>
      <c r="N64" s="190">
        <f t="shared" si="32"/>
        <v>4163176</v>
      </c>
    </row>
    <row r="65" spans="1:14" ht="15.75">
      <c r="A65" s="137">
        <f t="shared" si="33"/>
        <v>9</v>
      </c>
      <c r="B65" s="190">
        <f t="shared" si="31"/>
        <v>274446</v>
      </c>
      <c r="C65" s="190">
        <f t="shared" si="31"/>
        <v>221328</v>
      </c>
      <c r="D65" s="190">
        <f t="shared" si="31"/>
        <v>182964</v>
      </c>
      <c r="E65" s="190">
        <f t="shared" si="31"/>
        <v>182964</v>
      </c>
      <c r="F65" s="190">
        <f t="shared" si="31"/>
        <v>265593</v>
      </c>
      <c r="G65" s="190">
        <f t="shared" si="31"/>
        <v>365929</v>
      </c>
      <c r="H65" s="190">
        <f t="shared" si="31"/>
        <v>442656</v>
      </c>
      <c r="I65" s="190">
        <f t="shared" si="31"/>
        <v>457411</v>
      </c>
      <c r="J65" s="190">
        <f t="shared" si="31"/>
        <v>571764</v>
      </c>
      <c r="K65" s="190">
        <f t="shared" si="31"/>
        <v>475117</v>
      </c>
      <c r="L65" s="190">
        <f t="shared" si="31"/>
        <v>457411</v>
      </c>
      <c r="M65" s="190">
        <f t="shared" si="31"/>
        <v>265593</v>
      </c>
      <c r="N65" s="190">
        <f t="shared" si="32"/>
        <v>4163176</v>
      </c>
    </row>
    <row r="66" spans="1:14" ht="15.75">
      <c r="A66" s="137">
        <f t="shared" si="33"/>
        <v>10</v>
      </c>
      <c r="B66" s="190">
        <f t="shared" si="31"/>
        <v>274446</v>
      </c>
      <c r="C66" s="190">
        <f t="shared" si="31"/>
        <v>221328</v>
      </c>
      <c r="D66" s="190">
        <f t="shared" si="31"/>
        <v>182964</v>
      </c>
      <c r="E66" s="190">
        <f t="shared" si="31"/>
        <v>182964</v>
      </c>
      <c r="F66" s="190">
        <f t="shared" si="31"/>
        <v>265593</v>
      </c>
      <c r="G66" s="190">
        <f t="shared" si="31"/>
        <v>365929</v>
      </c>
      <c r="H66" s="190">
        <f t="shared" si="31"/>
        <v>442656</v>
      </c>
      <c r="I66" s="190">
        <f t="shared" si="31"/>
        <v>457411</v>
      </c>
      <c r="J66" s="190">
        <f t="shared" si="31"/>
        <v>571764</v>
      </c>
      <c r="K66" s="190">
        <f t="shared" si="31"/>
        <v>475117</v>
      </c>
      <c r="L66" s="190">
        <f t="shared" si="31"/>
        <v>457411</v>
      </c>
      <c r="M66" s="190">
        <f t="shared" si="31"/>
        <v>265593</v>
      </c>
      <c r="N66" s="190">
        <f t="shared" si="32"/>
        <v>4163176</v>
      </c>
    </row>
    <row r="67" spans="1:14" ht="15.75">
      <c r="A67" s="137">
        <f t="shared" si="33"/>
        <v>11</v>
      </c>
      <c r="B67" s="190">
        <f t="shared" si="31"/>
        <v>274446</v>
      </c>
      <c r="C67" s="190">
        <f t="shared" si="31"/>
        <v>221328</v>
      </c>
      <c r="D67" s="190">
        <f t="shared" si="31"/>
        <v>182964</v>
      </c>
      <c r="E67" s="190">
        <f t="shared" si="31"/>
        <v>182964</v>
      </c>
      <c r="F67" s="190">
        <f t="shared" si="31"/>
        <v>265593</v>
      </c>
      <c r="G67" s="190">
        <f t="shared" si="31"/>
        <v>365929</v>
      </c>
      <c r="H67" s="190">
        <f t="shared" si="31"/>
        <v>442656</v>
      </c>
      <c r="I67" s="190">
        <f t="shared" si="31"/>
        <v>457411</v>
      </c>
      <c r="J67" s="190">
        <f t="shared" si="31"/>
        <v>571764</v>
      </c>
      <c r="K67" s="190">
        <f t="shared" si="31"/>
        <v>475117</v>
      </c>
      <c r="L67" s="190">
        <f t="shared" si="31"/>
        <v>457411</v>
      </c>
      <c r="M67" s="190">
        <f t="shared" si="31"/>
        <v>265593</v>
      </c>
      <c r="N67" s="190">
        <f t="shared" si="32"/>
        <v>4163176</v>
      </c>
    </row>
    <row r="68" spans="1:14" ht="15.75">
      <c r="A68" s="137">
        <f t="shared" si="33"/>
        <v>12</v>
      </c>
      <c r="B68" s="190">
        <f t="shared" si="31"/>
        <v>274446</v>
      </c>
      <c r="C68" s="190">
        <f t="shared" si="31"/>
        <v>221328</v>
      </c>
      <c r="D68" s="190">
        <f t="shared" si="31"/>
        <v>182964</v>
      </c>
      <c r="E68" s="190">
        <f t="shared" si="31"/>
        <v>182964</v>
      </c>
      <c r="F68" s="190">
        <f t="shared" si="31"/>
        <v>265593</v>
      </c>
      <c r="G68" s="190">
        <f t="shared" si="31"/>
        <v>365929</v>
      </c>
      <c r="H68" s="190">
        <f t="shared" si="31"/>
        <v>442656</v>
      </c>
      <c r="I68" s="190">
        <f t="shared" si="31"/>
        <v>457411</v>
      </c>
      <c r="J68" s="190">
        <f t="shared" si="31"/>
        <v>571764</v>
      </c>
      <c r="K68" s="190">
        <f t="shared" si="31"/>
        <v>475117</v>
      </c>
      <c r="L68" s="190">
        <f t="shared" si="31"/>
        <v>457411</v>
      </c>
      <c r="M68" s="190">
        <f t="shared" si="31"/>
        <v>265593</v>
      </c>
      <c r="N68" s="190">
        <f t="shared" si="32"/>
        <v>4163176</v>
      </c>
    </row>
    <row r="69" spans="1:14" ht="15.75">
      <c r="A69" s="137">
        <f t="shared" si="33"/>
        <v>13</v>
      </c>
      <c r="B69" s="190">
        <f t="shared" si="31"/>
        <v>274446</v>
      </c>
      <c r="C69" s="190">
        <f t="shared" si="31"/>
        <v>221328</v>
      </c>
      <c r="D69" s="190">
        <f t="shared" si="31"/>
        <v>182964</v>
      </c>
      <c r="E69" s="190">
        <f t="shared" si="31"/>
        <v>182964</v>
      </c>
      <c r="F69" s="190">
        <f t="shared" si="31"/>
        <v>265593</v>
      </c>
      <c r="G69" s="190">
        <f t="shared" si="31"/>
        <v>365929</v>
      </c>
      <c r="H69" s="190">
        <f t="shared" si="31"/>
        <v>442656</v>
      </c>
      <c r="I69" s="190">
        <f t="shared" si="31"/>
        <v>457411</v>
      </c>
      <c r="J69" s="190">
        <f t="shared" si="31"/>
        <v>571764</v>
      </c>
      <c r="K69" s="190">
        <f t="shared" si="31"/>
        <v>475117</v>
      </c>
      <c r="L69" s="190">
        <f t="shared" si="31"/>
        <v>457411</v>
      </c>
      <c r="M69" s="190">
        <f t="shared" si="31"/>
        <v>265593</v>
      </c>
      <c r="N69" s="190">
        <f t="shared" si="32"/>
        <v>4163176</v>
      </c>
    </row>
    <row r="70" spans="1:14" ht="15.75">
      <c r="A70" s="137">
        <f t="shared" si="33"/>
        <v>14</v>
      </c>
      <c r="B70" s="190">
        <f t="shared" si="31"/>
        <v>274446</v>
      </c>
      <c r="C70" s="190">
        <f t="shared" si="31"/>
        <v>221328</v>
      </c>
      <c r="D70" s="190">
        <f t="shared" si="31"/>
        <v>182964</v>
      </c>
      <c r="E70" s="190">
        <f t="shared" si="31"/>
        <v>182964</v>
      </c>
      <c r="F70" s="190">
        <f t="shared" si="31"/>
        <v>265593</v>
      </c>
      <c r="G70" s="190">
        <f t="shared" si="31"/>
        <v>365929</v>
      </c>
      <c r="H70" s="190">
        <f t="shared" si="31"/>
        <v>442656</v>
      </c>
      <c r="I70" s="190">
        <f t="shared" si="31"/>
        <v>457411</v>
      </c>
      <c r="J70" s="190">
        <f t="shared" si="31"/>
        <v>571764</v>
      </c>
      <c r="K70" s="190">
        <f t="shared" si="31"/>
        <v>475117</v>
      </c>
      <c r="L70" s="190">
        <f t="shared" si="31"/>
        <v>457411</v>
      </c>
      <c r="M70" s="190">
        <f t="shared" si="31"/>
        <v>265593</v>
      </c>
      <c r="N70" s="190">
        <f t="shared" si="32"/>
        <v>4163176</v>
      </c>
    </row>
    <row r="71" spans="1:14" ht="15.75">
      <c r="A71" s="137">
        <f t="shared" si="33"/>
        <v>15</v>
      </c>
      <c r="B71" s="190">
        <f t="shared" si="31"/>
        <v>274446</v>
      </c>
      <c r="C71" s="190">
        <f t="shared" si="31"/>
        <v>221328</v>
      </c>
      <c r="D71" s="190">
        <f t="shared" si="31"/>
        <v>182964</v>
      </c>
      <c r="E71" s="190">
        <f t="shared" si="31"/>
        <v>182964</v>
      </c>
      <c r="F71" s="190">
        <f t="shared" si="31"/>
        <v>265593</v>
      </c>
      <c r="G71" s="190">
        <f t="shared" si="31"/>
        <v>365929</v>
      </c>
      <c r="H71" s="190">
        <f t="shared" si="31"/>
        <v>442656</v>
      </c>
      <c r="I71" s="190">
        <f t="shared" si="31"/>
        <v>457411</v>
      </c>
      <c r="J71" s="190">
        <f t="shared" si="31"/>
        <v>571764</v>
      </c>
      <c r="K71" s="190">
        <f t="shared" si="31"/>
        <v>475117</v>
      </c>
      <c r="L71" s="190">
        <f t="shared" si="31"/>
        <v>457411</v>
      </c>
      <c r="M71" s="190">
        <f t="shared" si="31"/>
        <v>265593</v>
      </c>
      <c r="N71" s="190">
        <f t="shared" si="32"/>
        <v>4163176</v>
      </c>
    </row>
    <row r="72" spans="1:14" ht="15.75">
      <c r="A72" s="137">
        <f t="shared" si="33"/>
        <v>16</v>
      </c>
      <c r="B72" s="190">
        <f t="shared" si="31"/>
        <v>274446</v>
      </c>
      <c r="C72" s="190">
        <f t="shared" si="31"/>
        <v>221328</v>
      </c>
      <c r="D72" s="190">
        <f t="shared" si="31"/>
        <v>182964</v>
      </c>
      <c r="E72" s="190">
        <f t="shared" si="31"/>
        <v>182964</v>
      </c>
      <c r="F72" s="190">
        <f t="shared" si="31"/>
        <v>265593</v>
      </c>
      <c r="G72" s="190">
        <f t="shared" si="31"/>
        <v>365929</v>
      </c>
      <c r="H72" s="190">
        <f t="shared" si="31"/>
        <v>442656</v>
      </c>
      <c r="I72" s="190">
        <f t="shared" si="31"/>
        <v>457411</v>
      </c>
      <c r="J72" s="190">
        <f t="shared" si="31"/>
        <v>571764</v>
      </c>
      <c r="K72" s="190">
        <f t="shared" si="31"/>
        <v>475117</v>
      </c>
      <c r="L72" s="190">
        <f t="shared" si="31"/>
        <v>457411</v>
      </c>
      <c r="M72" s="190">
        <f t="shared" si="31"/>
        <v>265593</v>
      </c>
      <c r="N72" s="190">
        <f t="shared" si="32"/>
        <v>4163176</v>
      </c>
    </row>
    <row r="73" spans="1:14" ht="15.75">
      <c r="A73" s="137">
        <f t="shared" si="33"/>
        <v>17</v>
      </c>
      <c r="B73" s="190">
        <f t="shared" si="31"/>
        <v>274446</v>
      </c>
      <c r="C73" s="190">
        <f t="shared" si="31"/>
        <v>221328</v>
      </c>
      <c r="D73" s="190">
        <f t="shared" si="31"/>
        <v>182964</v>
      </c>
      <c r="E73" s="190">
        <f t="shared" si="31"/>
        <v>182964</v>
      </c>
      <c r="F73" s="190">
        <f t="shared" si="31"/>
        <v>265593</v>
      </c>
      <c r="G73" s="190">
        <f t="shared" si="31"/>
        <v>365929</v>
      </c>
      <c r="H73" s="190">
        <f t="shared" si="31"/>
        <v>442656</v>
      </c>
      <c r="I73" s="190">
        <f t="shared" si="31"/>
        <v>457411</v>
      </c>
      <c r="J73" s="190">
        <f t="shared" si="31"/>
        <v>571764</v>
      </c>
      <c r="K73" s="190">
        <f t="shared" si="31"/>
        <v>475117</v>
      </c>
      <c r="L73" s="190">
        <f t="shared" si="31"/>
        <v>457411</v>
      </c>
      <c r="M73" s="190">
        <f t="shared" si="31"/>
        <v>265593</v>
      </c>
      <c r="N73" s="190">
        <f t="shared" si="32"/>
        <v>4163176</v>
      </c>
    </row>
    <row r="74" spans="1:14" ht="15.75">
      <c r="A74" s="137">
        <f t="shared" si="33"/>
        <v>18</v>
      </c>
      <c r="B74" s="190">
        <f t="shared" si="31"/>
        <v>274446</v>
      </c>
      <c r="C74" s="190">
        <f t="shared" si="31"/>
        <v>221328</v>
      </c>
      <c r="D74" s="190">
        <f t="shared" si="31"/>
        <v>182964</v>
      </c>
      <c r="E74" s="190">
        <f t="shared" si="31"/>
        <v>182964</v>
      </c>
      <c r="F74" s="190">
        <f t="shared" si="31"/>
        <v>265593</v>
      </c>
      <c r="G74" s="190">
        <f t="shared" si="31"/>
        <v>365929</v>
      </c>
      <c r="H74" s="190">
        <f t="shared" si="31"/>
        <v>442656</v>
      </c>
      <c r="I74" s="190">
        <f t="shared" si="31"/>
        <v>457411</v>
      </c>
      <c r="J74" s="190">
        <f t="shared" si="31"/>
        <v>571764</v>
      </c>
      <c r="K74" s="190">
        <f t="shared" si="31"/>
        <v>475117</v>
      </c>
      <c r="L74" s="190">
        <f t="shared" si="31"/>
        <v>457411</v>
      </c>
      <c r="M74" s="190">
        <f t="shared" si="31"/>
        <v>265593</v>
      </c>
      <c r="N74" s="190">
        <f t="shared" si="32"/>
        <v>4163176</v>
      </c>
    </row>
    <row r="75" spans="1:14" ht="15.75">
      <c r="A75" s="137">
        <f t="shared" si="33"/>
        <v>19</v>
      </c>
      <c r="B75" s="190">
        <f t="shared" si="31"/>
        <v>274446</v>
      </c>
      <c r="C75" s="190">
        <f t="shared" si="31"/>
        <v>221328</v>
      </c>
      <c r="D75" s="190">
        <f t="shared" si="31"/>
        <v>182964</v>
      </c>
      <c r="E75" s="190">
        <f t="shared" si="31"/>
        <v>182964</v>
      </c>
      <c r="F75" s="190">
        <f t="shared" si="31"/>
        <v>265593</v>
      </c>
      <c r="G75" s="190">
        <f t="shared" si="31"/>
        <v>365929</v>
      </c>
      <c r="H75" s="190">
        <f t="shared" si="31"/>
        <v>442656</v>
      </c>
      <c r="I75" s="190">
        <f t="shared" si="31"/>
        <v>457411</v>
      </c>
      <c r="J75" s="190">
        <f t="shared" si="31"/>
        <v>571764</v>
      </c>
      <c r="K75" s="190">
        <f t="shared" si="31"/>
        <v>475117</v>
      </c>
      <c r="L75" s="190">
        <f t="shared" si="31"/>
        <v>457411</v>
      </c>
      <c r="M75" s="190">
        <f t="shared" si="31"/>
        <v>265593</v>
      </c>
      <c r="N75" s="190">
        <f t="shared" si="32"/>
        <v>4163176</v>
      </c>
    </row>
    <row r="76" spans="1:14" ht="15.75">
      <c r="A76" s="137">
        <f t="shared" si="33"/>
        <v>20</v>
      </c>
      <c r="B76" s="190">
        <f t="shared" si="31"/>
        <v>274446</v>
      </c>
      <c r="C76" s="190">
        <f t="shared" si="31"/>
        <v>221328</v>
      </c>
      <c r="D76" s="190">
        <f t="shared" si="31"/>
        <v>182964</v>
      </c>
      <c r="E76" s="190">
        <f t="shared" si="31"/>
        <v>182964</v>
      </c>
      <c r="F76" s="190">
        <f t="shared" si="31"/>
        <v>265593</v>
      </c>
      <c r="G76" s="190">
        <f t="shared" si="31"/>
        <v>365929</v>
      </c>
      <c r="H76" s="190">
        <f t="shared" si="31"/>
        <v>442656</v>
      </c>
      <c r="I76" s="190">
        <f t="shared" si="31"/>
        <v>457411</v>
      </c>
      <c r="J76" s="190">
        <f t="shared" si="31"/>
        <v>571764</v>
      </c>
      <c r="K76" s="190">
        <f t="shared" si="31"/>
        <v>475117</v>
      </c>
      <c r="L76" s="190">
        <f t="shared" si="31"/>
        <v>457411</v>
      </c>
      <c r="M76" s="190">
        <f t="shared" si="31"/>
        <v>265593</v>
      </c>
      <c r="N76" s="190">
        <f t="shared" si="32"/>
        <v>4163176</v>
      </c>
    </row>
    <row r="78" spans="1:14" ht="15.75">
      <c r="A78" t="s">
        <v>113</v>
      </c>
      <c r="B78" s="107">
        <f aca="true" t="shared" si="34" ref="B78:M78">B12</f>
        <v>5</v>
      </c>
      <c r="C78" s="107">
        <f t="shared" si="34"/>
        <v>6</v>
      </c>
      <c r="D78" s="107">
        <f t="shared" si="34"/>
        <v>7</v>
      </c>
      <c r="E78" s="107">
        <f t="shared" si="34"/>
        <v>8</v>
      </c>
      <c r="F78" s="107">
        <f t="shared" si="34"/>
        <v>9</v>
      </c>
      <c r="G78" s="107">
        <f t="shared" si="34"/>
        <v>10</v>
      </c>
      <c r="H78" s="107">
        <f t="shared" si="34"/>
        <v>11</v>
      </c>
      <c r="I78" s="107">
        <f t="shared" si="34"/>
        <v>12</v>
      </c>
      <c r="J78" s="107">
        <f t="shared" si="34"/>
        <v>1</v>
      </c>
      <c r="K78" s="107">
        <f t="shared" si="34"/>
        <v>2</v>
      </c>
      <c r="L78" s="107">
        <f t="shared" si="34"/>
        <v>3</v>
      </c>
      <c r="M78" s="107">
        <f t="shared" si="34"/>
        <v>4</v>
      </c>
      <c r="N78" s="109" t="s">
        <v>110</v>
      </c>
    </row>
    <row r="79" spans="1:14" ht="15.75">
      <c r="A79" s="137">
        <v>1</v>
      </c>
      <c r="B79" s="190">
        <f aca="true" t="shared" si="35" ref="B79:M98">ROUNDDOWN(B57-(B57/(1+B35)),0)</f>
        <v>24949</v>
      </c>
      <c r="C79" s="190">
        <f t="shared" si="35"/>
        <v>20120</v>
      </c>
      <c r="D79" s="190">
        <f t="shared" si="35"/>
        <v>16633</v>
      </c>
      <c r="E79" s="190">
        <f t="shared" si="35"/>
        <v>16633</v>
      </c>
      <c r="F79" s="190">
        <f t="shared" si="35"/>
        <v>24144</v>
      </c>
      <c r="G79" s="190">
        <f t="shared" si="35"/>
        <v>33266</v>
      </c>
      <c r="H79" s="190">
        <f t="shared" si="35"/>
        <v>40241</v>
      </c>
      <c r="I79" s="190">
        <f t="shared" si="35"/>
        <v>41582</v>
      </c>
      <c r="J79" s="190">
        <f t="shared" si="35"/>
        <v>51978</v>
      </c>
      <c r="K79" s="190">
        <f t="shared" si="35"/>
        <v>43192</v>
      </c>
      <c r="L79" s="190">
        <f t="shared" si="35"/>
        <v>41582</v>
      </c>
      <c r="M79" s="190">
        <f t="shared" si="35"/>
        <v>24144</v>
      </c>
      <c r="N79" s="190">
        <f aca="true" t="shared" si="36" ref="N79:N98">SUM(B79:M79)</f>
        <v>378464</v>
      </c>
    </row>
    <row r="80" spans="1:14" ht="15.75">
      <c r="A80" s="137">
        <f aca="true" t="shared" si="37" ref="A80:A98">IF(A79&lt;$B$3,A79+1,"")</f>
        <v>2</v>
      </c>
      <c r="B80" s="190">
        <f t="shared" si="35"/>
        <v>24949</v>
      </c>
      <c r="C80" s="190">
        <f t="shared" si="35"/>
        <v>20120</v>
      </c>
      <c r="D80" s="190">
        <f t="shared" si="35"/>
        <v>16633</v>
      </c>
      <c r="E80" s="190">
        <f t="shared" si="35"/>
        <v>16633</v>
      </c>
      <c r="F80" s="190">
        <f t="shared" si="35"/>
        <v>24144</v>
      </c>
      <c r="G80" s="190">
        <f t="shared" si="35"/>
        <v>33266</v>
      </c>
      <c r="H80" s="190">
        <f t="shared" si="35"/>
        <v>40241</v>
      </c>
      <c r="I80" s="190">
        <f t="shared" si="35"/>
        <v>41582</v>
      </c>
      <c r="J80" s="190">
        <f t="shared" si="35"/>
        <v>51978</v>
      </c>
      <c r="K80" s="190">
        <f t="shared" si="35"/>
        <v>43192</v>
      </c>
      <c r="L80" s="190">
        <f t="shared" si="35"/>
        <v>41582</v>
      </c>
      <c r="M80" s="190">
        <f t="shared" si="35"/>
        <v>24144</v>
      </c>
      <c r="N80" s="190">
        <f t="shared" si="36"/>
        <v>378464</v>
      </c>
    </row>
    <row r="81" spans="1:14" ht="15.75">
      <c r="A81" s="137">
        <f t="shared" si="37"/>
        <v>3</v>
      </c>
      <c r="B81" s="190">
        <f t="shared" si="35"/>
        <v>24949</v>
      </c>
      <c r="C81" s="190">
        <f t="shared" si="35"/>
        <v>20120</v>
      </c>
      <c r="D81" s="190">
        <f t="shared" si="35"/>
        <v>16633</v>
      </c>
      <c r="E81" s="190">
        <f t="shared" si="35"/>
        <v>16633</v>
      </c>
      <c r="F81" s="190">
        <f t="shared" si="35"/>
        <v>24144</v>
      </c>
      <c r="G81" s="190">
        <f t="shared" si="35"/>
        <v>33266</v>
      </c>
      <c r="H81" s="190">
        <f t="shared" si="35"/>
        <v>40241</v>
      </c>
      <c r="I81" s="190">
        <f t="shared" si="35"/>
        <v>41582</v>
      </c>
      <c r="J81" s="190">
        <f t="shared" si="35"/>
        <v>51978</v>
      </c>
      <c r="K81" s="190">
        <f t="shared" si="35"/>
        <v>43192</v>
      </c>
      <c r="L81" s="190">
        <f t="shared" si="35"/>
        <v>41582</v>
      </c>
      <c r="M81" s="190">
        <f t="shared" si="35"/>
        <v>24144</v>
      </c>
      <c r="N81" s="190">
        <f t="shared" si="36"/>
        <v>378464</v>
      </c>
    </row>
    <row r="82" spans="1:14" ht="15.75">
      <c r="A82" s="137">
        <f t="shared" si="37"/>
        <v>4</v>
      </c>
      <c r="B82" s="190">
        <f t="shared" si="35"/>
        <v>24949</v>
      </c>
      <c r="C82" s="190">
        <f t="shared" si="35"/>
        <v>20120</v>
      </c>
      <c r="D82" s="190">
        <f t="shared" si="35"/>
        <v>16633</v>
      </c>
      <c r="E82" s="190">
        <f t="shared" si="35"/>
        <v>16633</v>
      </c>
      <c r="F82" s="190">
        <f t="shared" si="35"/>
        <v>24144</v>
      </c>
      <c r="G82" s="190">
        <f t="shared" si="35"/>
        <v>33266</v>
      </c>
      <c r="H82" s="190">
        <f t="shared" si="35"/>
        <v>40241</v>
      </c>
      <c r="I82" s="190">
        <f t="shared" si="35"/>
        <v>41582</v>
      </c>
      <c r="J82" s="190">
        <f t="shared" si="35"/>
        <v>51978</v>
      </c>
      <c r="K82" s="190">
        <f t="shared" si="35"/>
        <v>43192</v>
      </c>
      <c r="L82" s="190">
        <f t="shared" si="35"/>
        <v>41582</v>
      </c>
      <c r="M82" s="190">
        <f t="shared" si="35"/>
        <v>24144</v>
      </c>
      <c r="N82" s="190">
        <f t="shared" si="36"/>
        <v>378464</v>
      </c>
    </row>
    <row r="83" spans="1:14" ht="15.75">
      <c r="A83" s="137">
        <f t="shared" si="37"/>
        <v>5</v>
      </c>
      <c r="B83" s="190">
        <f t="shared" si="35"/>
        <v>24949</v>
      </c>
      <c r="C83" s="190">
        <f t="shared" si="35"/>
        <v>20120</v>
      </c>
      <c r="D83" s="190">
        <f t="shared" si="35"/>
        <v>16633</v>
      </c>
      <c r="E83" s="190">
        <f t="shared" si="35"/>
        <v>16633</v>
      </c>
      <c r="F83" s="190">
        <f t="shared" si="35"/>
        <v>24144</v>
      </c>
      <c r="G83" s="190">
        <f t="shared" si="35"/>
        <v>33266</v>
      </c>
      <c r="H83" s="190">
        <f t="shared" si="35"/>
        <v>40241</v>
      </c>
      <c r="I83" s="190">
        <f t="shared" si="35"/>
        <v>41582</v>
      </c>
      <c r="J83" s="190">
        <f t="shared" si="35"/>
        <v>51978</v>
      </c>
      <c r="K83" s="190">
        <f t="shared" si="35"/>
        <v>43192</v>
      </c>
      <c r="L83" s="190">
        <f t="shared" si="35"/>
        <v>41582</v>
      </c>
      <c r="M83" s="190">
        <f t="shared" si="35"/>
        <v>24144</v>
      </c>
      <c r="N83" s="190">
        <f t="shared" si="36"/>
        <v>378464</v>
      </c>
    </row>
    <row r="84" spans="1:14" ht="15.75">
      <c r="A84" s="137">
        <f t="shared" si="37"/>
        <v>6</v>
      </c>
      <c r="B84" s="190">
        <f t="shared" si="35"/>
        <v>24949</v>
      </c>
      <c r="C84" s="190">
        <f t="shared" si="35"/>
        <v>20120</v>
      </c>
      <c r="D84" s="190">
        <f t="shared" si="35"/>
        <v>16633</v>
      </c>
      <c r="E84" s="190">
        <f t="shared" si="35"/>
        <v>16633</v>
      </c>
      <c r="F84" s="190">
        <f t="shared" si="35"/>
        <v>24144</v>
      </c>
      <c r="G84" s="190">
        <f t="shared" si="35"/>
        <v>33266</v>
      </c>
      <c r="H84" s="190">
        <f t="shared" si="35"/>
        <v>40241</v>
      </c>
      <c r="I84" s="190">
        <f t="shared" si="35"/>
        <v>41582</v>
      </c>
      <c r="J84" s="190">
        <f t="shared" si="35"/>
        <v>51978</v>
      </c>
      <c r="K84" s="190">
        <f t="shared" si="35"/>
        <v>43192</v>
      </c>
      <c r="L84" s="190">
        <f t="shared" si="35"/>
        <v>41582</v>
      </c>
      <c r="M84" s="190">
        <f t="shared" si="35"/>
        <v>24144</v>
      </c>
      <c r="N84" s="190">
        <f t="shared" si="36"/>
        <v>378464</v>
      </c>
    </row>
    <row r="85" spans="1:14" ht="15.75">
      <c r="A85" s="137">
        <f t="shared" si="37"/>
        <v>7</v>
      </c>
      <c r="B85" s="190">
        <f t="shared" si="35"/>
        <v>24949</v>
      </c>
      <c r="C85" s="190">
        <f t="shared" si="35"/>
        <v>20120</v>
      </c>
      <c r="D85" s="190">
        <f t="shared" si="35"/>
        <v>16633</v>
      </c>
      <c r="E85" s="190">
        <f t="shared" si="35"/>
        <v>16633</v>
      </c>
      <c r="F85" s="190">
        <f t="shared" si="35"/>
        <v>24144</v>
      </c>
      <c r="G85" s="190">
        <f t="shared" si="35"/>
        <v>33266</v>
      </c>
      <c r="H85" s="190">
        <f t="shared" si="35"/>
        <v>40241</v>
      </c>
      <c r="I85" s="190">
        <f t="shared" si="35"/>
        <v>41582</v>
      </c>
      <c r="J85" s="190">
        <f t="shared" si="35"/>
        <v>51978</v>
      </c>
      <c r="K85" s="190">
        <f t="shared" si="35"/>
        <v>43192</v>
      </c>
      <c r="L85" s="190">
        <f t="shared" si="35"/>
        <v>41582</v>
      </c>
      <c r="M85" s="190">
        <f t="shared" si="35"/>
        <v>24144</v>
      </c>
      <c r="N85" s="190">
        <f t="shared" si="36"/>
        <v>378464</v>
      </c>
    </row>
    <row r="86" spans="1:14" ht="15.75">
      <c r="A86" s="137">
        <f t="shared" si="37"/>
        <v>8</v>
      </c>
      <c r="B86" s="190">
        <f t="shared" si="35"/>
        <v>24949</v>
      </c>
      <c r="C86" s="190">
        <f t="shared" si="35"/>
        <v>20120</v>
      </c>
      <c r="D86" s="190">
        <f t="shared" si="35"/>
        <v>16633</v>
      </c>
      <c r="E86" s="190">
        <f t="shared" si="35"/>
        <v>16633</v>
      </c>
      <c r="F86" s="190">
        <f t="shared" si="35"/>
        <v>24144</v>
      </c>
      <c r="G86" s="190">
        <f t="shared" si="35"/>
        <v>33266</v>
      </c>
      <c r="H86" s="190">
        <f t="shared" si="35"/>
        <v>40241</v>
      </c>
      <c r="I86" s="190">
        <f t="shared" si="35"/>
        <v>41582</v>
      </c>
      <c r="J86" s="190">
        <f t="shared" si="35"/>
        <v>51978</v>
      </c>
      <c r="K86" s="190">
        <f t="shared" si="35"/>
        <v>43192</v>
      </c>
      <c r="L86" s="190">
        <f t="shared" si="35"/>
        <v>41582</v>
      </c>
      <c r="M86" s="190">
        <f t="shared" si="35"/>
        <v>24144</v>
      </c>
      <c r="N86" s="190">
        <f t="shared" si="36"/>
        <v>378464</v>
      </c>
    </row>
    <row r="87" spans="1:14" ht="15.75">
      <c r="A87" s="137">
        <f t="shared" si="37"/>
        <v>9</v>
      </c>
      <c r="B87" s="190">
        <f t="shared" si="35"/>
        <v>24949</v>
      </c>
      <c r="C87" s="190">
        <f t="shared" si="35"/>
        <v>20120</v>
      </c>
      <c r="D87" s="190">
        <f t="shared" si="35"/>
        <v>16633</v>
      </c>
      <c r="E87" s="190">
        <f t="shared" si="35"/>
        <v>16633</v>
      </c>
      <c r="F87" s="190">
        <f t="shared" si="35"/>
        <v>24144</v>
      </c>
      <c r="G87" s="190">
        <f t="shared" si="35"/>
        <v>33266</v>
      </c>
      <c r="H87" s="190">
        <f t="shared" si="35"/>
        <v>40241</v>
      </c>
      <c r="I87" s="190">
        <f t="shared" si="35"/>
        <v>41582</v>
      </c>
      <c r="J87" s="190">
        <f t="shared" si="35"/>
        <v>51978</v>
      </c>
      <c r="K87" s="190">
        <f t="shared" si="35"/>
        <v>43192</v>
      </c>
      <c r="L87" s="190">
        <f t="shared" si="35"/>
        <v>41582</v>
      </c>
      <c r="M87" s="190">
        <f t="shared" si="35"/>
        <v>24144</v>
      </c>
      <c r="N87" s="190">
        <f t="shared" si="36"/>
        <v>378464</v>
      </c>
    </row>
    <row r="88" spans="1:14" ht="15.75">
      <c r="A88" s="137">
        <f t="shared" si="37"/>
        <v>10</v>
      </c>
      <c r="B88" s="190">
        <f t="shared" si="35"/>
        <v>24949</v>
      </c>
      <c r="C88" s="190">
        <f t="shared" si="35"/>
        <v>20120</v>
      </c>
      <c r="D88" s="190">
        <f t="shared" si="35"/>
        <v>16633</v>
      </c>
      <c r="E88" s="190">
        <f t="shared" si="35"/>
        <v>16633</v>
      </c>
      <c r="F88" s="190">
        <f t="shared" si="35"/>
        <v>24144</v>
      </c>
      <c r="G88" s="190">
        <f t="shared" si="35"/>
        <v>33266</v>
      </c>
      <c r="H88" s="190">
        <f t="shared" si="35"/>
        <v>40241</v>
      </c>
      <c r="I88" s="190">
        <f t="shared" si="35"/>
        <v>41582</v>
      </c>
      <c r="J88" s="190">
        <f t="shared" si="35"/>
        <v>51978</v>
      </c>
      <c r="K88" s="190">
        <f t="shared" si="35"/>
        <v>43192</v>
      </c>
      <c r="L88" s="190">
        <f t="shared" si="35"/>
        <v>41582</v>
      </c>
      <c r="M88" s="190">
        <f t="shared" si="35"/>
        <v>24144</v>
      </c>
      <c r="N88" s="190">
        <f t="shared" si="36"/>
        <v>378464</v>
      </c>
    </row>
    <row r="89" spans="1:14" ht="15.75">
      <c r="A89" s="137">
        <f t="shared" si="37"/>
        <v>11</v>
      </c>
      <c r="B89" s="190">
        <f t="shared" si="35"/>
        <v>24949</v>
      </c>
      <c r="C89" s="190">
        <f t="shared" si="35"/>
        <v>20120</v>
      </c>
      <c r="D89" s="190">
        <f t="shared" si="35"/>
        <v>16633</v>
      </c>
      <c r="E89" s="190">
        <f t="shared" si="35"/>
        <v>16633</v>
      </c>
      <c r="F89" s="190">
        <f t="shared" si="35"/>
        <v>24144</v>
      </c>
      <c r="G89" s="190">
        <f t="shared" si="35"/>
        <v>33266</v>
      </c>
      <c r="H89" s="190">
        <f t="shared" si="35"/>
        <v>40241</v>
      </c>
      <c r="I89" s="190">
        <f t="shared" si="35"/>
        <v>41582</v>
      </c>
      <c r="J89" s="190">
        <f t="shared" si="35"/>
        <v>51978</v>
      </c>
      <c r="K89" s="190">
        <f t="shared" si="35"/>
        <v>43192</v>
      </c>
      <c r="L89" s="190">
        <f t="shared" si="35"/>
        <v>41582</v>
      </c>
      <c r="M89" s="190">
        <f t="shared" si="35"/>
        <v>24144</v>
      </c>
      <c r="N89" s="190">
        <f t="shared" si="36"/>
        <v>378464</v>
      </c>
    </row>
    <row r="90" spans="1:14" ht="15.75">
      <c r="A90" s="137">
        <f t="shared" si="37"/>
        <v>12</v>
      </c>
      <c r="B90" s="190">
        <f t="shared" si="35"/>
        <v>24949</v>
      </c>
      <c r="C90" s="190">
        <f t="shared" si="35"/>
        <v>20120</v>
      </c>
      <c r="D90" s="190">
        <f t="shared" si="35"/>
        <v>16633</v>
      </c>
      <c r="E90" s="190">
        <f t="shared" si="35"/>
        <v>16633</v>
      </c>
      <c r="F90" s="190">
        <f t="shared" si="35"/>
        <v>24144</v>
      </c>
      <c r="G90" s="190">
        <f t="shared" si="35"/>
        <v>33266</v>
      </c>
      <c r="H90" s="190">
        <f t="shared" si="35"/>
        <v>40241</v>
      </c>
      <c r="I90" s="190">
        <f t="shared" si="35"/>
        <v>41582</v>
      </c>
      <c r="J90" s="190">
        <f t="shared" si="35"/>
        <v>51978</v>
      </c>
      <c r="K90" s="190">
        <f t="shared" si="35"/>
        <v>43192</v>
      </c>
      <c r="L90" s="190">
        <f t="shared" si="35"/>
        <v>41582</v>
      </c>
      <c r="M90" s="190">
        <f t="shared" si="35"/>
        <v>24144</v>
      </c>
      <c r="N90" s="190">
        <f t="shared" si="36"/>
        <v>378464</v>
      </c>
    </row>
    <row r="91" spans="1:14" ht="15.75">
      <c r="A91" s="137">
        <f t="shared" si="37"/>
        <v>13</v>
      </c>
      <c r="B91" s="190">
        <f t="shared" si="35"/>
        <v>24949</v>
      </c>
      <c r="C91" s="190">
        <f t="shared" si="35"/>
        <v>20120</v>
      </c>
      <c r="D91" s="190">
        <f t="shared" si="35"/>
        <v>16633</v>
      </c>
      <c r="E91" s="190">
        <f t="shared" si="35"/>
        <v>16633</v>
      </c>
      <c r="F91" s="190">
        <f t="shared" si="35"/>
        <v>24144</v>
      </c>
      <c r="G91" s="190">
        <f t="shared" si="35"/>
        <v>33266</v>
      </c>
      <c r="H91" s="190">
        <f t="shared" si="35"/>
        <v>40241</v>
      </c>
      <c r="I91" s="190">
        <f t="shared" si="35"/>
        <v>41582</v>
      </c>
      <c r="J91" s="190">
        <f t="shared" si="35"/>
        <v>51978</v>
      </c>
      <c r="K91" s="190">
        <f t="shared" si="35"/>
        <v>43192</v>
      </c>
      <c r="L91" s="190">
        <f t="shared" si="35"/>
        <v>41582</v>
      </c>
      <c r="M91" s="190">
        <f t="shared" si="35"/>
        <v>24144</v>
      </c>
      <c r="N91" s="190">
        <f t="shared" si="36"/>
        <v>378464</v>
      </c>
    </row>
    <row r="92" spans="1:14" ht="15.75">
      <c r="A92" s="137">
        <f t="shared" si="37"/>
        <v>14</v>
      </c>
      <c r="B92" s="190">
        <f t="shared" si="35"/>
        <v>24949</v>
      </c>
      <c r="C92" s="190">
        <f t="shared" si="35"/>
        <v>20120</v>
      </c>
      <c r="D92" s="190">
        <f t="shared" si="35"/>
        <v>16633</v>
      </c>
      <c r="E92" s="190">
        <f t="shared" si="35"/>
        <v>16633</v>
      </c>
      <c r="F92" s="190">
        <f t="shared" si="35"/>
        <v>24144</v>
      </c>
      <c r="G92" s="190">
        <f t="shared" si="35"/>
        <v>33266</v>
      </c>
      <c r="H92" s="190">
        <f t="shared" si="35"/>
        <v>40241</v>
      </c>
      <c r="I92" s="190">
        <f t="shared" si="35"/>
        <v>41582</v>
      </c>
      <c r="J92" s="190">
        <f t="shared" si="35"/>
        <v>51978</v>
      </c>
      <c r="K92" s="190">
        <f t="shared" si="35"/>
        <v>43192</v>
      </c>
      <c r="L92" s="190">
        <f t="shared" si="35"/>
        <v>41582</v>
      </c>
      <c r="M92" s="190">
        <f t="shared" si="35"/>
        <v>24144</v>
      </c>
      <c r="N92" s="190">
        <f t="shared" si="36"/>
        <v>378464</v>
      </c>
    </row>
    <row r="93" spans="1:14" ht="15.75">
      <c r="A93" s="137">
        <f t="shared" si="37"/>
        <v>15</v>
      </c>
      <c r="B93" s="190">
        <f t="shared" si="35"/>
        <v>24949</v>
      </c>
      <c r="C93" s="190">
        <f t="shared" si="35"/>
        <v>20120</v>
      </c>
      <c r="D93" s="190">
        <f t="shared" si="35"/>
        <v>16633</v>
      </c>
      <c r="E93" s="190">
        <f t="shared" si="35"/>
        <v>16633</v>
      </c>
      <c r="F93" s="190">
        <f t="shared" si="35"/>
        <v>24144</v>
      </c>
      <c r="G93" s="190">
        <f t="shared" si="35"/>
        <v>33266</v>
      </c>
      <c r="H93" s="190">
        <f t="shared" si="35"/>
        <v>40241</v>
      </c>
      <c r="I93" s="190">
        <f t="shared" si="35"/>
        <v>41582</v>
      </c>
      <c r="J93" s="190">
        <f t="shared" si="35"/>
        <v>51978</v>
      </c>
      <c r="K93" s="190">
        <f t="shared" si="35"/>
        <v>43192</v>
      </c>
      <c r="L93" s="190">
        <f t="shared" si="35"/>
        <v>41582</v>
      </c>
      <c r="M93" s="190">
        <f t="shared" si="35"/>
        <v>24144</v>
      </c>
      <c r="N93" s="190">
        <f t="shared" si="36"/>
        <v>378464</v>
      </c>
    </row>
    <row r="94" spans="1:14" ht="15.75">
      <c r="A94" s="137">
        <f t="shared" si="37"/>
        <v>16</v>
      </c>
      <c r="B94" s="190">
        <f t="shared" si="35"/>
        <v>24949</v>
      </c>
      <c r="C94" s="190">
        <f t="shared" si="35"/>
        <v>20120</v>
      </c>
      <c r="D94" s="190">
        <f t="shared" si="35"/>
        <v>16633</v>
      </c>
      <c r="E94" s="190">
        <f t="shared" si="35"/>
        <v>16633</v>
      </c>
      <c r="F94" s="190">
        <f t="shared" si="35"/>
        <v>24144</v>
      </c>
      <c r="G94" s="190">
        <f t="shared" si="35"/>
        <v>33266</v>
      </c>
      <c r="H94" s="190">
        <f t="shared" si="35"/>
        <v>40241</v>
      </c>
      <c r="I94" s="190">
        <f t="shared" si="35"/>
        <v>41582</v>
      </c>
      <c r="J94" s="190">
        <f t="shared" si="35"/>
        <v>51978</v>
      </c>
      <c r="K94" s="190">
        <f t="shared" si="35"/>
        <v>43192</v>
      </c>
      <c r="L94" s="190">
        <f t="shared" si="35"/>
        <v>41582</v>
      </c>
      <c r="M94" s="190">
        <f t="shared" si="35"/>
        <v>24144</v>
      </c>
      <c r="N94" s="190">
        <f t="shared" si="36"/>
        <v>378464</v>
      </c>
    </row>
    <row r="95" spans="1:14" ht="15.75">
      <c r="A95" s="137">
        <f t="shared" si="37"/>
        <v>17</v>
      </c>
      <c r="B95" s="190">
        <f t="shared" si="35"/>
        <v>24949</v>
      </c>
      <c r="C95" s="190">
        <f t="shared" si="35"/>
        <v>20120</v>
      </c>
      <c r="D95" s="190">
        <f t="shared" si="35"/>
        <v>16633</v>
      </c>
      <c r="E95" s="190">
        <f t="shared" si="35"/>
        <v>16633</v>
      </c>
      <c r="F95" s="190">
        <f t="shared" si="35"/>
        <v>24144</v>
      </c>
      <c r="G95" s="190">
        <f t="shared" si="35"/>
        <v>33266</v>
      </c>
      <c r="H95" s="190">
        <f t="shared" si="35"/>
        <v>40241</v>
      </c>
      <c r="I95" s="190">
        <f t="shared" si="35"/>
        <v>41582</v>
      </c>
      <c r="J95" s="190">
        <f t="shared" si="35"/>
        <v>51978</v>
      </c>
      <c r="K95" s="190">
        <f t="shared" si="35"/>
        <v>43192</v>
      </c>
      <c r="L95" s="190">
        <f t="shared" si="35"/>
        <v>41582</v>
      </c>
      <c r="M95" s="190">
        <f t="shared" si="35"/>
        <v>24144</v>
      </c>
      <c r="N95" s="190">
        <f t="shared" si="36"/>
        <v>378464</v>
      </c>
    </row>
    <row r="96" spans="1:14" ht="15.75">
      <c r="A96" s="137">
        <f t="shared" si="37"/>
        <v>18</v>
      </c>
      <c r="B96" s="190">
        <f t="shared" si="35"/>
        <v>24949</v>
      </c>
      <c r="C96" s="190">
        <f t="shared" si="35"/>
        <v>20120</v>
      </c>
      <c r="D96" s="190">
        <f t="shared" si="35"/>
        <v>16633</v>
      </c>
      <c r="E96" s="190">
        <f t="shared" si="35"/>
        <v>16633</v>
      </c>
      <c r="F96" s="190">
        <f t="shared" si="35"/>
        <v>24144</v>
      </c>
      <c r="G96" s="190">
        <f t="shared" si="35"/>
        <v>33266</v>
      </c>
      <c r="H96" s="190">
        <f t="shared" si="35"/>
        <v>40241</v>
      </c>
      <c r="I96" s="190">
        <f t="shared" si="35"/>
        <v>41582</v>
      </c>
      <c r="J96" s="190">
        <f t="shared" si="35"/>
        <v>51978</v>
      </c>
      <c r="K96" s="190">
        <f t="shared" si="35"/>
        <v>43192</v>
      </c>
      <c r="L96" s="190">
        <f t="shared" si="35"/>
        <v>41582</v>
      </c>
      <c r="M96" s="190">
        <f t="shared" si="35"/>
        <v>24144</v>
      </c>
      <c r="N96" s="190">
        <f t="shared" si="36"/>
        <v>378464</v>
      </c>
    </row>
    <row r="97" spans="1:14" ht="15.75">
      <c r="A97" s="137">
        <f t="shared" si="37"/>
        <v>19</v>
      </c>
      <c r="B97" s="190">
        <f t="shared" si="35"/>
        <v>24949</v>
      </c>
      <c r="C97" s="190">
        <f t="shared" si="35"/>
        <v>20120</v>
      </c>
      <c r="D97" s="190">
        <f t="shared" si="35"/>
        <v>16633</v>
      </c>
      <c r="E97" s="190">
        <f t="shared" si="35"/>
        <v>16633</v>
      </c>
      <c r="F97" s="190">
        <f t="shared" si="35"/>
        <v>24144</v>
      </c>
      <c r="G97" s="190">
        <f t="shared" si="35"/>
        <v>33266</v>
      </c>
      <c r="H97" s="190">
        <f t="shared" si="35"/>
        <v>40241</v>
      </c>
      <c r="I97" s="190">
        <f t="shared" si="35"/>
        <v>41582</v>
      </c>
      <c r="J97" s="190">
        <f t="shared" si="35"/>
        <v>51978</v>
      </c>
      <c r="K97" s="190">
        <f t="shared" si="35"/>
        <v>43192</v>
      </c>
      <c r="L97" s="190">
        <f t="shared" si="35"/>
        <v>41582</v>
      </c>
      <c r="M97" s="190">
        <f t="shared" si="35"/>
        <v>24144</v>
      </c>
      <c r="N97" s="190">
        <f t="shared" si="36"/>
        <v>378464</v>
      </c>
    </row>
    <row r="98" spans="1:14" ht="15.75">
      <c r="A98" s="137">
        <f t="shared" si="37"/>
        <v>20</v>
      </c>
      <c r="B98" s="190">
        <f t="shared" si="35"/>
        <v>24949</v>
      </c>
      <c r="C98" s="190">
        <f t="shared" si="35"/>
        <v>20120</v>
      </c>
      <c r="D98" s="190">
        <f t="shared" si="35"/>
        <v>16633</v>
      </c>
      <c r="E98" s="190">
        <f t="shared" si="35"/>
        <v>16633</v>
      </c>
      <c r="F98" s="190">
        <f t="shared" si="35"/>
        <v>24144</v>
      </c>
      <c r="G98" s="190">
        <f t="shared" si="35"/>
        <v>33266</v>
      </c>
      <c r="H98" s="190">
        <f t="shared" si="35"/>
        <v>40241</v>
      </c>
      <c r="I98" s="190">
        <f t="shared" si="35"/>
        <v>41582</v>
      </c>
      <c r="J98" s="190">
        <f t="shared" si="35"/>
        <v>51978</v>
      </c>
      <c r="K98" s="190">
        <f t="shared" si="35"/>
        <v>43192</v>
      </c>
      <c r="L98" s="190">
        <f t="shared" si="35"/>
        <v>41582</v>
      </c>
      <c r="M98" s="190">
        <f t="shared" si="35"/>
        <v>24144</v>
      </c>
      <c r="N98" s="190">
        <f t="shared" si="36"/>
        <v>378464</v>
      </c>
    </row>
    <row r="100" spans="1:14" ht="15.75">
      <c r="A100" s="154" t="s">
        <v>224</v>
      </c>
      <c r="B100" s="107">
        <f aca="true" t="shared" si="38" ref="B100:M100">B12</f>
        <v>5</v>
      </c>
      <c r="C100" s="107">
        <f t="shared" si="38"/>
        <v>6</v>
      </c>
      <c r="D100" s="107">
        <f t="shared" si="38"/>
        <v>7</v>
      </c>
      <c r="E100" s="107">
        <f t="shared" si="38"/>
        <v>8</v>
      </c>
      <c r="F100" s="107">
        <f t="shared" si="38"/>
        <v>9</v>
      </c>
      <c r="G100" s="107">
        <f t="shared" si="38"/>
        <v>10</v>
      </c>
      <c r="H100" s="107">
        <f t="shared" si="38"/>
        <v>11</v>
      </c>
      <c r="I100" s="107">
        <f t="shared" si="38"/>
        <v>12</v>
      </c>
      <c r="J100" s="107">
        <f t="shared" si="38"/>
        <v>1</v>
      </c>
      <c r="K100" s="107">
        <f t="shared" si="38"/>
        <v>2</v>
      </c>
      <c r="L100" s="107">
        <f t="shared" si="38"/>
        <v>3</v>
      </c>
      <c r="M100" s="107">
        <f t="shared" si="38"/>
        <v>4</v>
      </c>
      <c r="N100" s="109" t="s">
        <v>110</v>
      </c>
    </row>
    <row r="101" spans="1:14" ht="15.75">
      <c r="A101" s="137">
        <v>1</v>
      </c>
      <c r="B101" s="130">
        <f aca="true" t="shared" si="39" ref="B101:M120">B57-B79</f>
        <v>249497</v>
      </c>
      <c r="C101" s="130">
        <f t="shared" si="39"/>
        <v>201208</v>
      </c>
      <c r="D101" s="130">
        <f t="shared" si="39"/>
        <v>166331</v>
      </c>
      <c r="E101" s="130">
        <f t="shared" si="39"/>
        <v>166331</v>
      </c>
      <c r="F101" s="130">
        <f t="shared" si="39"/>
        <v>241449</v>
      </c>
      <c r="G101" s="130">
        <f t="shared" si="39"/>
        <v>332663</v>
      </c>
      <c r="H101" s="130">
        <f t="shared" si="39"/>
        <v>402415</v>
      </c>
      <c r="I101" s="130">
        <f t="shared" si="39"/>
        <v>415829</v>
      </c>
      <c r="J101" s="130">
        <f t="shared" si="39"/>
        <v>519786</v>
      </c>
      <c r="K101" s="130">
        <f t="shared" si="39"/>
        <v>431925</v>
      </c>
      <c r="L101" s="130">
        <f t="shared" si="39"/>
        <v>415829</v>
      </c>
      <c r="M101" s="130">
        <f t="shared" si="39"/>
        <v>241449</v>
      </c>
      <c r="N101" s="130">
        <f aca="true" t="shared" si="40" ref="N101:N120">SUM(B101:M101)</f>
        <v>3784712</v>
      </c>
    </row>
    <row r="102" spans="1:14" ht="15.75">
      <c r="A102" s="137">
        <f aca="true" t="shared" si="41" ref="A102:A120">IF(A101&lt;$B$3,A101+1,"")</f>
        <v>2</v>
      </c>
      <c r="B102" s="130">
        <f t="shared" si="39"/>
        <v>249497</v>
      </c>
      <c r="C102" s="130">
        <f t="shared" si="39"/>
        <v>201208</v>
      </c>
      <c r="D102" s="130">
        <f t="shared" si="39"/>
        <v>166331</v>
      </c>
      <c r="E102" s="130">
        <f t="shared" si="39"/>
        <v>166331</v>
      </c>
      <c r="F102" s="130">
        <f t="shared" si="39"/>
        <v>241449</v>
      </c>
      <c r="G102" s="130">
        <f t="shared" si="39"/>
        <v>332663</v>
      </c>
      <c r="H102" s="130">
        <f t="shared" si="39"/>
        <v>402415</v>
      </c>
      <c r="I102" s="130">
        <f t="shared" si="39"/>
        <v>415829</v>
      </c>
      <c r="J102" s="130">
        <f t="shared" si="39"/>
        <v>519786</v>
      </c>
      <c r="K102" s="130">
        <f t="shared" si="39"/>
        <v>431925</v>
      </c>
      <c r="L102" s="130">
        <f t="shared" si="39"/>
        <v>415829</v>
      </c>
      <c r="M102" s="130">
        <f t="shared" si="39"/>
        <v>241449</v>
      </c>
      <c r="N102" s="130">
        <f t="shared" si="40"/>
        <v>3784712</v>
      </c>
    </row>
    <row r="103" spans="1:14" ht="15.75">
      <c r="A103" s="137">
        <f t="shared" si="41"/>
        <v>3</v>
      </c>
      <c r="B103" s="130">
        <f t="shared" si="39"/>
        <v>249497</v>
      </c>
      <c r="C103" s="130">
        <f t="shared" si="39"/>
        <v>201208</v>
      </c>
      <c r="D103" s="130">
        <f t="shared" si="39"/>
        <v>166331</v>
      </c>
      <c r="E103" s="130">
        <f t="shared" si="39"/>
        <v>166331</v>
      </c>
      <c r="F103" s="130">
        <f t="shared" si="39"/>
        <v>241449</v>
      </c>
      <c r="G103" s="130">
        <f t="shared" si="39"/>
        <v>332663</v>
      </c>
      <c r="H103" s="130">
        <f t="shared" si="39"/>
        <v>402415</v>
      </c>
      <c r="I103" s="130">
        <f t="shared" si="39"/>
        <v>415829</v>
      </c>
      <c r="J103" s="130">
        <f t="shared" si="39"/>
        <v>519786</v>
      </c>
      <c r="K103" s="130">
        <f t="shared" si="39"/>
        <v>431925</v>
      </c>
      <c r="L103" s="130">
        <f t="shared" si="39"/>
        <v>415829</v>
      </c>
      <c r="M103" s="130">
        <f t="shared" si="39"/>
        <v>241449</v>
      </c>
      <c r="N103" s="130">
        <f t="shared" si="40"/>
        <v>3784712</v>
      </c>
    </row>
    <row r="104" spans="1:14" ht="15.75">
      <c r="A104" s="137">
        <f t="shared" si="41"/>
        <v>4</v>
      </c>
      <c r="B104" s="130">
        <f t="shared" si="39"/>
        <v>249497</v>
      </c>
      <c r="C104" s="130">
        <f t="shared" si="39"/>
        <v>201208</v>
      </c>
      <c r="D104" s="130">
        <f t="shared" si="39"/>
        <v>166331</v>
      </c>
      <c r="E104" s="130">
        <f t="shared" si="39"/>
        <v>166331</v>
      </c>
      <c r="F104" s="130">
        <f t="shared" si="39"/>
        <v>241449</v>
      </c>
      <c r="G104" s="130">
        <f t="shared" si="39"/>
        <v>332663</v>
      </c>
      <c r="H104" s="130">
        <f t="shared" si="39"/>
        <v>402415</v>
      </c>
      <c r="I104" s="130">
        <f t="shared" si="39"/>
        <v>415829</v>
      </c>
      <c r="J104" s="130">
        <f t="shared" si="39"/>
        <v>519786</v>
      </c>
      <c r="K104" s="130">
        <f t="shared" si="39"/>
        <v>431925</v>
      </c>
      <c r="L104" s="130">
        <f t="shared" si="39"/>
        <v>415829</v>
      </c>
      <c r="M104" s="130">
        <f t="shared" si="39"/>
        <v>241449</v>
      </c>
      <c r="N104" s="130">
        <f t="shared" si="40"/>
        <v>3784712</v>
      </c>
    </row>
    <row r="105" spans="1:14" ht="15.75">
      <c r="A105" s="137">
        <f t="shared" si="41"/>
        <v>5</v>
      </c>
      <c r="B105" s="130">
        <f t="shared" si="39"/>
        <v>249497</v>
      </c>
      <c r="C105" s="130">
        <f t="shared" si="39"/>
        <v>201208</v>
      </c>
      <c r="D105" s="130">
        <f t="shared" si="39"/>
        <v>166331</v>
      </c>
      <c r="E105" s="130">
        <f t="shared" si="39"/>
        <v>166331</v>
      </c>
      <c r="F105" s="130">
        <f t="shared" si="39"/>
        <v>241449</v>
      </c>
      <c r="G105" s="130">
        <f t="shared" si="39"/>
        <v>332663</v>
      </c>
      <c r="H105" s="130">
        <f t="shared" si="39"/>
        <v>402415</v>
      </c>
      <c r="I105" s="130">
        <f t="shared" si="39"/>
        <v>415829</v>
      </c>
      <c r="J105" s="130">
        <f t="shared" si="39"/>
        <v>519786</v>
      </c>
      <c r="K105" s="130">
        <f t="shared" si="39"/>
        <v>431925</v>
      </c>
      <c r="L105" s="130">
        <f t="shared" si="39"/>
        <v>415829</v>
      </c>
      <c r="M105" s="130">
        <f t="shared" si="39"/>
        <v>241449</v>
      </c>
      <c r="N105" s="130">
        <f t="shared" si="40"/>
        <v>3784712</v>
      </c>
    </row>
    <row r="106" spans="1:14" ht="15.75">
      <c r="A106" s="137">
        <f t="shared" si="41"/>
        <v>6</v>
      </c>
      <c r="B106" s="130">
        <f t="shared" si="39"/>
        <v>249497</v>
      </c>
      <c r="C106" s="130">
        <f t="shared" si="39"/>
        <v>201208</v>
      </c>
      <c r="D106" s="130">
        <f t="shared" si="39"/>
        <v>166331</v>
      </c>
      <c r="E106" s="130">
        <f t="shared" si="39"/>
        <v>166331</v>
      </c>
      <c r="F106" s="130">
        <f t="shared" si="39"/>
        <v>241449</v>
      </c>
      <c r="G106" s="130">
        <f t="shared" si="39"/>
        <v>332663</v>
      </c>
      <c r="H106" s="130">
        <f t="shared" si="39"/>
        <v>402415</v>
      </c>
      <c r="I106" s="130">
        <f t="shared" si="39"/>
        <v>415829</v>
      </c>
      <c r="J106" s="130">
        <f t="shared" si="39"/>
        <v>519786</v>
      </c>
      <c r="K106" s="130">
        <f t="shared" si="39"/>
        <v>431925</v>
      </c>
      <c r="L106" s="130">
        <f t="shared" si="39"/>
        <v>415829</v>
      </c>
      <c r="M106" s="130">
        <f t="shared" si="39"/>
        <v>241449</v>
      </c>
      <c r="N106" s="130">
        <f t="shared" si="40"/>
        <v>3784712</v>
      </c>
    </row>
    <row r="107" spans="1:14" ht="15.75">
      <c r="A107" s="137">
        <f t="shared" si="41"/>
        <v>7</v>
      </c>
      <c r="B107" s="130">
        <f t="shared" si="39"/>
        <v>249497</v>
      </c>
      <c r="C107" s="130">
        <f t="shared" si="39"/>
        <v>201208</v>
      </c>
      <c r="D107" s="130">
        <f t="shared" si="39"/>
        <v>166331</v>
      </c>
      <c r="E107" s="130">
        <f t="shared" si="39"/>
        <v>166331</v>
      </c>
      <c r="F107" s="130">
        <f t="shared" si="39"/>
        <v>241449</v>
      </c>
      <c r="G107" s="130">
        <f t="shared" si="39"/>
        <v>332663</v>
      </c>
      <c r="H107" s="130">
        <f t="shared" si="39"/>
        <v>402415</v>
      </c>
      <c r="I107" s="130">
        <f t="shared" si="39"/>
        <v>415829</v>
      </c>
      <c r="J107" s="130">
        <f t="shared" si="39"/>
        <v>519786</v>
      </c>
      <c r="K107" s="130">
        <f t="shared" si="39"/>
        <v>431925</v>
      </c>
      <c r="L107" s="130">
        <f t="shared" si="39"/>
        <v>415829</v>
      </c>
      <c r="M107" s="130">
        <f t="shared" si="39"/>
        <v>241449</v>
      </c>
      <c r="N107" s="130">
        <f t="shared" si="40"/>
        <v>3784712</v>
      </c>
    </row>
    <row r="108" spans="1:14" ht="15.75">
      <c r="A108" s="137">
        <f t="shared" si="41"/>
        <v>8</v>
      </c>
      <c r="B108" s="130">
        <f t="shared" si="39"/>
        <v>249497</v>
      </c>
      <c r="C108" s="130">
        <f t="shared" si="39"/>
        <v>201208</v>
      </c>
      <c r="D108" s="130">
        <f t="shared" si="39"/>
        <v>166331</v>
      </c>
      <c r="E108" s="130">
        <f t="shared" si="39"/>
        <v>166331</v>
      </c>
      <c r="F108" s="130">
        <f t="shared" si="39"/>
        <v>241449</v>
      </c>
      <c r="G108" s="130">
        <f t="shared" si="39"/>
        <v>332663</v>
      </c>
      <c r="H108" s="130">
        <f t="shared" si="39"/>
        <v>402415</v>
      </c>
      <c r="I108" s="130">
        <f t="shared" si="39"/>
        <v>415829</v>
      </c>
      <c r="J108" s="130">
        <f t="shared" si="39"/>
        <v>519786</v>
      </c>
      <c r="K108" s="130">
        <f t="shared" si="39"/>
        <v>431925</v>
      </c>
      <c r="L108" s="130">
        <f t="shared" si="39"/>
        <v>415829</v>
      </c>
      <c r="M108" s="130">
        <f t="shared" si="39"/>
        <v>241449</v>
      </c>
      <c r="N108" s="130">
        <f t="shared" si="40"/>
        <v>3784712</v>
      </c>
    </row>
    <row r="109" spans="1:14" ht="15.75">
      <c r="A109" s="137">
        <f t="shared" si="41"/>
        <v>9</v>
      </c>
      <c r="B109" s="130">
        <f t="shared" si="39"/>
        <v>249497</v>
      </c>
      <c r="C109" s="130">
        <f t="shared" si="39"/>
        <v>201208</v>
      </c>
      <c r="D109" s="130">
        <f t="shared" si="39"/>
        <v>166331</v>
      </c>
      <c r="E109" s="130">
        <f t="shared" si="39"/>
        <v>166331</v>
      </c>
      <c r="F109" s="130">
        <f t="shared" si="39"/>
        <v>241449</v>
      </c>
      <c r="G109" s="130">
        <f t="shared" si="39"/>
        <v>332663</v>
      </c>
      <c r="H109" s="130">
        <f t="shared" si="39"/>
        <v>402415</v>
      </c>
      <c r="I109" s="130">
        <f t="shared" si="39"/>
        <v>415829</v>
      </c>
      <c r="J109" s="130">
        <f t="shared" si="39"/>
        <v>519786</v>
      </c>
      <c r="K109" s="130">
        <f t="shared" si="39"/>
        <v>431925</v>
      </c>
      <c r="L109" s="130">
        <f t="shared" si="39"/>
        <v>415829</v>
      </c>
      <c r="M109" s="130">
        <f t="shared" si="39"/>
        <v>241449</v>
      </c>
      <c r="N109" s="130">
        <f t="shared" si="40"/>
        <v>3784712</v>
      </c>
    </row>
    <row r="110" spans="1:14" ht="15.75">
      <c r="A110" s="137">
        <f t="shared" si="41"/>
        <v>10</v>
      </c>
      <c r="B110" s="130">
        <f t="shared" si="39"/>
        <v>249497</v>
      </c>
      <c r="C110" s="130">
        <f t="shared" si="39"/>
        <v>201208</v>
      </c>
      <c r="D110" s="130">
        <f t="shared" si="39"/>
        <v>166331</v>
      </c>
      <c r="E110" s="130">
        <f t="shared" si="39"/>
        <v>166331</v>
      </c>
      <c r="F110" s="130">
        <f t="shared" si="39"/>
        <v>241449</v>
      </c>
      <c r="G110" s="130">
        <f t="shared" si="39"/>
        <v>332663</v>
      </c>
      <c r="H110" s="130">
        <f t="shared" si="39"/>
        <v>402415</v>
      </c>
      <c r="I110" s="130">
        <f t="shared" si="39"/>
        <v>415829</v>
      </c>
      <c r="J110" s="130">
        <f t="shared" si="39"/>
        <v>519786</v>
      </c>
      <c r="K110" s="130">
        <f t="shared" si="39"/>
        <v>431925</v>
      </c>
      <c r="L110" s="130">
        <f t="shared" si="39"/>
        <v>415829</v>
      </c>
      <c r="M110" s="130">
        <f t="shared" si="39"/>
        <v>241449</v>
      </c>
      <c r="N110" s="130">
        <f t="shared" si="40"/>
        <v>3784712</v>
      </c>
    </row>
    <row r="111" spans="1:14" ht="15.75">
      <c r="A111" s="137">
        <f t="shared" si="41"/>
        <v>11</v>
      </c>
      <c r="B111" s="130">
        <f t="shared" si="39"/>
        <v>249497</v>
      </c>
      <c r="C111" s="130">
        <f t="shared" si="39"/>
        <v>201208</v>
      </c>
      <c r="D111" s="130">
        <f t="shared" si="39"/>
        <v>166331</v>
      </c>
      <c r="E111" s="130">
        <f t="shared" si="39"/>
        <v>166331</v>
      </c>
      <c r="F111" s="130">
        <f t="shared" si="39"/>
        <v>241449</v>
      </c>
      <c r="G111" s="130">
        <f t="shared" si="39"/>
        <v>332663</v>
      </c>
      <c r="H111" s="130">
        <f t="shared" si="39"/>
        <v>402415</v>
      </c>
      <c r="I111" s="130">
        <f t="shared" si="39"/>
        <v>415829</v>
      </c>
      <c r="J111" s="130">
        <f t="shared" si="39"/>
        <v>519786</v>
      </c>
      <c r="K111" s="130">
        <f t="shared" si="39"/>
        <v>431925</v>
      </c>
      <c r="L111" s="130">
        <f t="shared" si="39"/>
        <v>415829</v>
      </c>
      <c r="M111" s="130">
        <f t="shared" si="39"/>
        <v>241449</v>
      </c>
      <c r="N111" s="130">
        <f t="shared" si="40"/>
        <v>3784712</v>
      </c>
    </row>
    <row r="112" spans="1:14" ht="15.75">
      <c r="A112" s="137">
        <f t="shared" si="41"/>
        <v>12</v>
      </c>
      <c r="B112" s="130">
        <f t="shared" si="39"/>
        <v>249497</v>
      </c>
      <c r="C112" s="130">
        <f t="shared" si="39"/>
        <v>201208</v>
      </c>
      <c r="D112" s="130">
        <f t="shared" si="39"/>
        <v>166331</v>
      </c>
      <c r="E112" s="130">
        <f t="shared" si="39"/>
        <v>166331</v>
      </c>
      <c r="F112" s="130">
        <f t="shared" si="39"/>
        <v>241449</v>
      </c>
      <c r="G112" s="130">
        <f t="shared" si="39"/>
        <v>332663</v>
      </c>
      <c r="H112" s="130">
        <f t="shared" si="39"/>
        <v>402415</v>
      </c>
      <c r="I112" s="130">
        <f t="shared" si="39"/>
        <v>415829</v>
      </c>
      <c r="J112" s="130">
        <f t="shared" si="39"/>
        <v>519786</v>
      </c>
      <c r="K112" s="130">
        <f t="shared" si="39"/>
        <v>431925</v>
      </c>
      <c r="L112" s="130">
        <f t="shared" si="39"/>
        <v>415829</v>
      </c>
      <c r="M112" s="130">
        <f t="shared" si="39"/>
        <v>241449</v>
      </c>
      <c r="N112" s="130">
        <f t="shared" si="40"/>
        <v>3784712</v>
      </c>
    </row>
    <row r="113" spans="1:14" ht="15.75">
      <c r="A113" s="137">
        <f t="shared" si="41"/>
        <v>13</v>
      </c>
      <c r="B113" s="130">
        <f t="shared" si="39"/>
        <v>249497</v>
      </c>
      <c r="C113" s="130">
        <f t="shared" si="39"/>
        <v>201208</v>
      </c>
      <c r="D113" s="130">
        <f t="shared" si="39"/>
        <v>166331</v>
      </c>
      <c r="E113" s="130">
        <f t="shared" si="39"/>
        <v>166331</v>
      </c>
      <c r="F113" s="130">
        <f t="shared" si="39"/>
        <v>241449</v>
      </c>
      <c r="G113" s="130">
        <f t="shared" si="39"/>
        <v>332663</v>
      </c>
      <c r="H113" s="130">
        <f t="shared" si="39"/>
        <v>402415</v>
      </c>
      <c r="I113" s="130">
        <f t="shared" si="39"/>
        <v>415829</v>
      </c>
      <c r="J113" s="130">
        <f t="shared" si="39"/>
        <v>519786</v>
      </c>
      <c r="K113" s="130">
        <f t="shared" si="39"/>
        <v>431925</v>
      </c>
      <c r="L113" s="130">
        <f t="shared" si="39"/>
        <v>415829</v>
      </c>
      <c r="M113" s="130">
        <f t="shared" si="39"/>
        <v>241449</v>
      </c>
      <c r="N113" s="130">
        <f t="shared" si="40"/>
        <v>3784712</v>
      </c>
    </row>
    <row r="114" spans="1:14" ht="15.75">
      <c r="A114" s="137">
        <f t="shared" si="41"/>
        <v>14</v>
      </c>
      <c r="B114" s="130">
        <f t="shared" si="39"/>
        <v>249497</v>
      </c>
      <c r="C114" s="130">
        <f t="shared" si="39"/>
        <v>201208</v>
      </c>
      <c r="D114" s="130">
        <f t="shared" si="39"/>
        <v>166331</v>
      </c>
      <c r="E114" s="130">
        <f t="shared" si="39"/>
        <v>166331</v>
      </c>
      <c r="F114" s="130">
        <f t="shared" si="39"/>
        <v>241449</v>
      </c>
      <c r="G114" s="130">
        <f t="shared" si="39"/>
        <v>332663</v>
      </c>
      <c r="H114" s="130">
        <f t="shared" si="39"/>
        <v>402415</v>
      </c>
      <c r="I114" s="130">
        <f t="shared" si="39"/>
        <v>415829</v>
      </c>
      <c r="J114" s="130">
        <f t="shared" si="39"/>
        <v>519786</v>
      </c>
      <c r="K114" s="130">
        <f t="shared" si="39"/>
        <v>431925</v>
      </c>
      <c r="L114" s="130">
        <f t="shared" si="39"/>
        <v>415829</v>
      </c>
      <c r="M114" s="130">
        <f t="shared" si="39"/>
        <v>241449</v>
      </c>
      <c r="N114" s="130">
        <f t="shared" si="40"/>
        <v>3784712</v>
      </c>
    </row>
    <row r="115" spans="1:14" ht="15.75">
      <c r="A115" s="137">
        <f t="shared" si="41"/>
        <v>15</v>
      </c>
      <c r="B115" s="130">
        <f t="shared" si="39"/>
        <v>249497</v>
      </c>
      <c r="C115" s="130">
        <f t="shared" si="39"/>
        <v>201208</v>
      </c>
      <c r="D115" s="130">
        <f t="shared" si="39"/>
        <v>166331</v>
      </c>
      <c r="E115" s="130">
        <f t="shared" si="39"/>
        <v>166331</v>
      </c>
      <c r="F115" s="130">
        <f t="shared" si="39"/>
        <v>241449</v>
      </c>
      <c r="G115" s="130">
        <f t="shared" si="39"/>
        <v>332663</v>
      </c>
      <c r="H115" s="130">
        <f t="shared" si="39"/>
        <v>402415</v>
      </c>
      <c r="I115" s="130">
        <f t="shared" si="39"/>
        <v>415829</v>
      </c>
      <c r="J115" s="130">
        <f t="shared" si="39"/>
        <v>519786</v>
      </c>
      <c r="K115" s="130">
        <f t="shared" si="39"/>
        <v>431925</v>
      </c>
      <c r="L115" s="130">
        <f t="shared" si="39"/>
        <v>415829</v>
      </c>
      <c r="M115" s="130">
        <f t="shared" si="39"/>
        <v>241449</v>
      </c>
      <c r="N115" s="130">
        <f t="shared" si="40"/>
        <v>3784712</v>
      </c>
    </row>
    <row r="116" spans="1:14" ht="15.75">
      <c r="A116" s="137">
        <f t="shared" si="41"/>
        <v>16</v>
      </c>
      <c r="B116" s="130">
        <f t="shared" si="39"/>
        <v>249497</v>
      </c>
      <c r="C116" s="130">
        <f t="shared" si="39"/>
        <v>201208</v>
      </c>
      <c r="D116" s="130">
        <f t="shared" si="39"/>
        <v>166331</v>
      </c>
      <c r="E116" s="130">
        <f t="shared" si="39"/>
        <v>166331</v>
      </c>
      <c r="F116" s="130">
        <f t="shared" si="39"/>
        <v>241449</v>
      </c>
      <c r="G116" s="130">
        <f t="shared" si="39"/>
        <v>332663</v>
      </c>
      <c r="H116" s="130">
        <f t="shared" si="39"/>
        <v>402415</v>
      </c>
      <c r="I116" s="130">
        <f t="shared" si="39"/>
        <v>415829</v>
      </c>
      <c r="J116" s="130">
        <f t="shared" si="39"/>
        <v>519786</v>
      </c>
      <c r="K116" s="130">
        <f t="shared" si="39"/>
        <v>431925</v>
      </c>
      <c r="L116" s="130">
        <f t="shared" si="39"/>
        <v>415829</v>
      </c>
      <c r="M116" s="130">
        <f t="shared" si="39"/>
        <v>241449</v>
      </c>
      <c r="N116" s="130">
        <f t="shared" si="40"/>
        <v>3784712</v>
      </c>
    </row>
    <row r="117" spans="1:14" ht="15.75">
      <c r="A117" s="137">
        <f t="shared" si="41"/>
        <v>17</v>
      </c>
      <c r="B117" s="130">
        <f t="shared" si="39"/>
        <v>249497</v>
      </c>
      <c r="C117" s="130">
        <f t="shared" si="39"/>
        <v>201208</v>
      </c>
      <c r="D117" s="130">
        <f t="shared" si="39"/>
        <v>166331</v>
      </c>
      <c r="E117" s="130">
        <f t="shared" si="39"/>
        <v>166331</v>
      </c>
      <c r="F117" s="130">
        <f t="shared" si="39"/>
        <v>241449</v>
      </c>
      <c r="G117" s="130">
        <f t="shared" si="39"/>
        <v>332663</v>
      </c>
      <c r="H117" s="130">
        <f t="shared" si="39"/>
        <v>402415</v>
      </c>
      <c r="I117" s="130">
        <f t="shared" si="39"/>
        <v>415829</v>
      </c>
      <c r="J117" s="130">
        <f t="shared" si="39"/>
        <v>519786</v>
      </c>
      <c r="K117" s="130">
        <f t="shared" si="39"/>
        <v>431925</v>
      </c>
      <c r="L117" s="130">
        <f t="shared" si="39"/>
        <v>415829</v>
      </c>
      <c r="M117" s="130">
        <f t="shared" si="39"/>
        <v>241449</v>
      </c>
      <c r="N117" s="130">
        <f t="shared" si="40"/>
        <v>3784712</v>
      </c>
    </row>
    <row r="118" spans="1:14" ht="15.75">
      <c r="A118" s="137">
        <f t="shared" si="41"/>
        <v>18</v>
      </c>
      <c r="B118" s="130">
        <f t="shared" si="39"/>
        <v>249497</v>
      </c>
      <c r="C118" s="130">
        <f t="shared" si="39"/>
        <v>201208</v>
      </c>
      <c r="D118" s="130">
        <f t="shared" si="39"/>
        <v>166331</v>
      </c>
      <c r="E118" s="130">
        <f t="shared" si="39"/>
        <v>166331</v>
      </c>
      <c r="F118" s="130">
        <f t="shared" si="39"/>
        <v>241449</v>
      </c>
      <c r="G118" s="130">
        <f t="shared" si="39"/>
        <v>332663</v>
      </c>
      <c r="H118" s="130">
        <f t="shared" si="39"/>
        <v>402415</v>
      </c>
      <c r="I118" s="130">
        <f t="shared" si="39"/>
        <v>415829</v>
      </c>
      <c r="J118" s="130">
        <f t="shared" si="39"/>
        <v>519786</v>
      </c>
      <c r="K118" s="130">
        <f t="shared" si="39"/>
        <v>431925</v>
      </c>
      <c r="L118" s="130">
        <f t="shared" si="39"/>
        <v>415829</v>
      </c>
      <c r="M118" s="130">
        <f t="shared" si="39"/>
        <v>241449</v>
      </c>
      <c r="N118" s="130">
        <f t="shared" si="40"/>
        <v>3784712</v>
      </c>
    </row>
    <row r="119" spans="1:14" ht="15.75">
      <c r="A119" s="137">
        <f t="shared" si="41"/>
        <v>19</v>
      </c>
      <c r="B119" s="130">
        <f t="shared" si="39"/>
        <v>249497</v>
      </c>
      <c r="C119" s="130">
        <f t="shared" si="39"/>
        <v>201208</v>
      </c>
      <c r="D119" s="130">
        <f t="shared" si="39"/>
        <v>166331</v>
      </c>
      <c r="E119" s="130">
        <f t="shared" si="39"/>
        <v>166331</v>
      </c>
      <c r="F119" s="130">
        <f t="shared" si="39"/>
        <v>241449</v>
      </c>
      <c r="G119" s="130">
        <f t="shared" si="39"/>
        <v>332663</v>
      </c>
      <c r="H119" s="130">
        <f t="shared" si="39"/>
        <v>402415</v>
      </c>
      <c r="I119" s="130">
        <f t="shared" si="39"/>
        <v>415829</v>
      </c>
      <c r="J119" s="130">
        <f t="shared" si="39"/>
        <v>519786</v>
      </c>
      <c r="K119" s="130">
        <f t="shared" si="39"/>
        <v>431925</v>
      </c>
      <c r="L119" s="130">
        <f t="shared" si="39"/>
        <v>415829</v>
      </c>
      <c r="M119" s="130">
        <f t="shared" si="39"/>
        <v>241449</v>
      </c>
      <c r="N119" s="130">
        <f t="shared" si="40"/>
        <v>3784712</v>
      </c>
    </row>
    <row r="120" spans="1:14" ht="15.75">
      <c r="A120" s="137">
        <f t="shared" si="41"/>
        <v>20</v>
      </c>
      <c r="B120" s="130">
        <f t="shared" si="39"/>
        <v>249497</v>
      </c>
      <c r="C120" s="130">
        <f t="shared" si="39"/>
        <v>201208</v>
      </c>
      <c r="D120" s="130">
        <f t="shared" si="39"/>
        <v>166331</v>
      </c>
      <c r="E120" s="130">
        <f t="shared" si="39"/>
        <v>166331</v>
      </c>
      <c r="F120" s="130">
        <f t="shared" si="39"/>
        <v>241449</v>
      </c>
      <c r="G120" s="130">
        <f t="shared" si="39"/>
        <v>332663</v>
      </c>
      <c r="H120" s="130">
        <f t="shared" si="39"/>
        <v>402415</v>
      </c>
      <c r="I120" s="130">
        <f t="shared" si="39"/>
        <v>415829</v>
      </c>
      <c r="J120" s="130">
        <f t="shared" si="39"/>
        <v>519786</v>
      </c>
      <c r="K120" s="130">
        <f t="shared" si="39"/>
        <v>431925</v>
      </c>
      <c r="L120" s="130">
        <f t="shared" si="39"/>
        <v>415829</v>
      </c>
      <c r="M120" s="130">
        <f t="shared" si="39"/>
        <v>241449</v>
      </c>
      <c r="N120" s="130">
        <f t="shared" si="40"/>
        <v>3784712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Z51"/>
  <sheetViews>
    <sheetView zoomScalePageLayoutView="0" workbookViewId="0" topLeftCell="A1">
      <selection activeCell="A1" sqref="A1"/>
    </sheetView>
  </sheetViews>
  <sheetFormatPr defaultColWidth="9.140625" defaultRowHeight="12.75"/>
  <cols>
    <col min="1" max="1" width="2.7109375" style="57" customWidth="1"/>
    <col min="2" max="2" width="34.57421875" style="57" customWidth="1"/>
    <col min="3" max="3" width="15.421875" style="57" bestFit="1" customWidth="1"/>
    <col min="4" max="12" width="15.00390625" style="57" bestFit="1" customWidth="1"/>
    <col min="13" max="17" width="13.57421875" style="57" bestFit="1" customWidth="1"/>
    <col min="18" max="22" width="14.421875" style="57" bestFit="1" customWidth="1"/>
    <col min="23" max="24" width="13.140625" style="57" bestFit="1" customWidth="1"/>
    <col min="25" max="25" width="9.140625" style="57" customWidth="1"/>
    <col min="26" max="26" width="15.00390625" style="57" bestFit="1" customWidth="1"/>
    <col min="27" max="16384" width="9.140625" style="57" customWidth="1"/>
  </cols>
  <sheetData>
    <row r="1" ht="18" thickBot="1"/>
    <row r="2" spans="2:3" ht="18">
      <c r="B2" s="18" t="s">
        <v>7</v>
      </c>
      <c r="C2" s="45"/>
    </row>
    <row r="3" spans="2:4" ht="18">
      <c r="B3" s="99" t="s">
        <v>170</v>
      </c>
      <c r="C3" s="106">
        <f>IF(Datasheet!$B$55=1,ROUNDDOWN(Datasheet!$B$54,0),ROUNDDOWN(Datasheet!$B$54*(1+Datasheet!$B$56/100),0))</f>
        <v>0</v>
      </c>
      <c r="D3" s="99" t="s">
        <v>312</v>
      </c>
    </row>
    <row r="4" spans="2:3" ht="18" thickBot="1">
      <c r="B4" s="62" t="s">
        <v>323</v>
      </c>
      <c r="C4" s="96">
        <f>IF(Datasheet!B86=0,17,Datasheet!B86)</f>
        <v>17</v>
      </c>
    </row>
    <row r="5" spans="2:3" ht="18">
      <c r="B5" s="66"/>
      <c r="C5" s="63"/>
    </row>
    <row r="6" spans="2:3" ht="18" thickBot="1">
      <c r="B6" s="66"/>
      <c r="C6" s="63"/>
    </row>
    <row r="7" spans="2:24" ht="18">
      <c r="B7" s="162" t="s">
        <v>92</v>
      </c>
      <c r="C7" s="127"/>
      <c r="D7" s="127"/>
      <c r="E7" s="127"/>
      <c r="F7" s="127"/>
      <c r="G7" s="127"/>
      <c r="H7" s="127"/>
      <c r="I7" s="127"/>
      <c r="J7" s="127"/>
      <c r="K7" s="127"/>
      <c r="L7" s="127"/>
      <c r="M7" s="127"/>
      <c r="N7" s="127"/>
      <c r="O7" s="127"/>
      <c r="P7" s="127"/>
      <c r="Q7" s="127"/>
      <c r="R7" s="127"/>
      <c r="S7" s="127"/>
      <c r="T7" s="127"/>
      <c r="U7" s="127"/>
      <c r="V7" s="127"/>
      <c r="W7" s="186"/>
      <c r="X7" s="45"/>
    </row>
    <row r="8" spans="2:24" ht="18">
      <c r="B8" s="38" t="s">
        <v>62</v>
      </c>
      <c r="C8" s="66">
        <f>VLOOKUP(C4,'減価償却率表'!A9:E107,3)</f>
        <v>0.118</v>
      </c>
      <c r="D8" s="66"/>
      <c r="E8" s="66"/>
      <c r="F8" s="66"/>
      <c r="G8" s="66"/>
      <c r="H8" s="66"/>
      <c r="I8" s="66"/>
      <c r="J8" s="66"/>
      <c r="K8" s="66"/>
      <c r="L8" s="66"/>
      <c r="M8" s="66"/>
      <c r="N8" s="66"/>
      <c r="O8" s="66"/>
      <c r="P8" s="66"/>
      <c r="Q8" s="66"/>
      <c r="R8" s="66"/>
      <c r="S8" s="66"/>
      <c r="T8" s="66"/>
      <c r="U8" s="66"/>
      <c r="V8" s="66"/>
      <c r="W8" s="132"/>
      <c r="X8" s="36"/>
    </row>
    <row r="9" spans="2:24" ht="18">
      <c r="B9" s="38" t="s">
        <v>222</v>
      </c>
      <c r="C9" s="66">
        <f>VLOOKUP(C4,'減価償却率表'!A9:E107,4)</f>
        <v>0.125</v>
      </c>
      <c r="D9" s="66"/>
      <c r="E9" s="66"/>
      <c r="F9" s="66"/>
      <c r="G9" s="66"/>
      <c r="H9" s="66"/>
      <c r="I9" s="66"/>
      <c r="J9" s="66"/>
      <c r="K9" s="66"/>
      <c r="L9" s="66"/>
      <c r="M9" s="66"/>
      <c r="N9" s="66"/>
      <c r="O9" s="66"/>
      <c r="P9" s="66"/>
      <c r="Q9" s="66"/>
      <c r="R9" s="66"/>
      <c r="S9" s="66"/>
      <c r="T9" s="66"/>
      <c r="U9" s="66"/>
      <c r="V9" s="66"/>
      <c r="W9" s="132"/>
      <c r="X9" s="36"/>
    </row>
    <row r="10" spans="2:24" ht="18">
      <c r="B10" s="38" t="s">
        <v>322</v>
      </c>
      <c r="C10" s="66">
        <f>VLOOKUP(C4,'減価償却率表'!A9:E107,5)</f>
        <v>0.04038</v>
      </c>
      <c r="D10" s="66"/>
      <c r="E10" s="66"/>
      <c r="F10" s="66"/>
      <c r="G10" s="66"/>
      <c r="H10" s="66"/>
      <c r="I10" s="66"/>
      <c r="J10" s="66"/>
      <c r="K10" s="66"/>
      <c r="L10" s="66"/>
      <c r="M10" s="66"/>
      <c r="N10" s="66"/>
      <c r="O10" s="66"/>
      <c r="P10" s="66"/>
      <c r="Q10" s="66"/>
      <c r="R10" s="66"/>
      <c r="S10" s="66"/>
      <c r="T10" s="66"/>
      <c r="U10" s="66"/>
      <c r="V10" s="66"/>
      <c r="W10" s="132"/>
      <c r="X10" s="36"/>
    </row>
    <row r="11" spans="2:24" ht="18">
      <c r="B11" s="38" t="s">
        <v>184</v>
      </c>
      <c r="C11" s="184">
        <f>$C$3*$C$10</f>
        <v>0</v>
      </c>
      <c r="D11" s="66"/>
      <c r="E11" s="66"/>
      <c r="F11" s="66"/>
      <c r="G11" s="66"/>
      <c r="H11" s="66"/>
      <c r="I11" s="66"/>
      <c r="J11" s="66"/>
      <c r="K11" s="66"/>
      <c r="L11" s="66"/>
      <c r="M11" s="66"/>
      <c r="N11" s="66"/>
      <c r="O11" s="66"/>
      <c r="P11" s="66"/>
      <c r="Q11" s="66"/>
      <c r="R11" s="66"/>
      <c r="S11" s="66"/>
      <c r="T11" s="66"/>
      <c r="U11" s="66"/>
      <c r="V11" s="66"/>
      <c r="W11" s="132"/>
      <c r="X11" s="36"/>
    </row>
    <row r="12" spans="2:24" ht="18">
      <c r="B12" s="38"/>
      <c r="C12" s="66"/>
      <c r="D12" s="66"/>
      <c r="E12" s="66"/>
      <c r="F12" s="66"/>
      <c r="G12" s="66"/>
      <c r="H12" s="66"/>
      <c r="I12" s="66"/>
      <c r="J12" s="66"/>
      <c r="K12" s="66"/>
      <c r="L12" s="66"/>
      <c r="M12" s="66"/>
      <c r="N12" s="66"/>
      <c r="O12" s="66"/>
      <c r="P12" s="66"/>
      <c r="Q12" s="66"/>
      <c r="R12" s="66"/>
      <c r="S12" s="66"/>
      <c r="T12" s="66"/>
      <c r="U12" s="66"/>
      <c r="V12" s="66"/>
      <c r="W12" s="132"/>
      <c r="X12" s="36"/>
    </row>
    <row r="13" spans="2:24" ht="18">
      <c r="B13" s="38"/>
      <c r="C13" s="206">
        <v>1</v>
      </c>
      <c r="D13" s="206">
        <v>2</v>
      </c>
      <c r="E13" s="206">
        <v>3</v>
      </c>
      <c r="F13" s="206">
        <v>4</v>
      </c>
      <c r="G13" s="206">
        <v>5</v>
      </c>
      <c r="H13" s="206">
        <v>6</v>
      </c>
      <c r="I13" s="206">
        <v>7</v>
      </c>
      <c r="J13" s="206">
        <v>8</v>
      </c>
      <c r="K13" s="206">
        <v>9</v>
      </c>
      <c r="L13" s="206">
        <v>10</v>
      </c>
      <c r="M13" s="206">
        <v>11</v>
      </c>
      <c r="N13" s="206">
        <v>12</v>
      </c>
      <c r="O13" s="206">
        <v>13</v>
      </c>
      <c r="P13" s="206">
        <v>14</v>
      </c>
      <c r="Q13" s="206">
        <v>15</v>
      </c>
      <c r="R13" s="206">
        <v>16</v>
      </c>
      <c r="S13" s="206">
        <v>17</v>
      </c>
      <c r="T13" s="206">
        <v>18</v>
      </c>
      <c r="U13" s="206">
        <v>19</v>
      </c>
      <c r="V13" s="206">
        <v>20</v>
      </c>
      <c r="W13" s="28" t="s">
        <v>131</v>
      </c>
      <c r="X13" s="36"/>
    </row>
    <row r="14" spans="2:24" ht="18">
      <c r="B14" s="38" t="s">
        <v>106</v>
      </c>
      <c r="C14" s="209">
        <f>$C$3</f>
        <v>0</v>
      </c>
      <c r="D14" s="209">
        <f aca="true" t="shared" si="0" ref="D14:V14">C14-C18</f>
        <v>0</v>
      </c>
      <c r="E14" s="209">
        <f t="shared" si="0"/>
        <v>0</v>
      </c>
      <c r="F14" s="209">
        <f t="shared" si="0"/>
        <v>0</v>
      </c>
      <c r="G14" s="209">
        <f t="shared" si="0"/>
        <v>0</v>
      </c>
      <c r="H14" s="209">
        <f t="shared" si="0"/>
        <v>0</v>
      </c>
      <c r="I14" s="209">
        <f t="shared" si="0"/>
        <v>0</v>
      </c>
      <c r="J14" s="209">
        <f t="shared" si="0"/>
        <v>0</v>
      </c>
      <c r="K14" s="209">
        <f t="shared" si="0"/>
        <v>0</v>
      </c>
      <c r="L14" s="209">
        <f t="shared" si="0"/>
        <v>0</v>
      </c>
      <c r="M14" s="209">
        <f t="shared" si="0"/>
        <v>0</v>
      </c>
      <c r="N14" s="209">
        <f t="shared" si="0"/>
        <v>0</v>
      </c>
      <c r="O14" s="209">
        <f t="shared" si="0"/>
        <v>0</v>
      </c>
      <c r="P14" s="209">
        <f t="shared" si="0"/>
        <v>0</v>
      </c>
      <c r="Q14" s="209">
        <f t="shared" si="0"/>
        <v>0</v>
      </c>
      <c r="R14" s="209">
        <f t="shared" si="0"/>
        <v>0</v>
      </c>
      <c r="S14" s="209">
        <f t="shared" si="0"/>
        <v>0</v>
      </c>
      <c r="T14" s="209">
        <f t="shared" si="0"/>
        <v>0</v>
      </c>
      <c r="U14" s="209">
        <f t="shared" si="0"/>
        <v>0</v>
      </c>
      <c r="V14" s="209">
        <f t="shared" si="0"/>
        <v>0</v>
      </c>
      <c r="W14" s="132"/>
      <c r="X14" s="36"/>
    </row>
    <row r="15" spans="2:24" ht="18">
      <c r="B15" s="38" t="s">
        <v>318</v>
      </c>
      <c r="C15" s="159">
        <f aca="true" t="shared" si="1" ref="C15:V15">IF(OR(B15=$C$9,B15="－"),"－",IF(C14*$C$8&gt;$C$11,$C$8,$C$9))</f>
        <v>0.125</v>
      </c>
      <c r="D15" s="159" t="str">
        <f t="shared" si="1"/>
        <v>－</v>
      </c>
      <c r="E15" s="159" t="str">
        <f t="shared" si="1"/>
        <v>－</v>
      </c>
      <c r="F15" s="159" t="str">
        <f t="shared" si="1"/>
        <v>－</v>
      </c>
      <c r="G15" s="159" t="str">
        <f t="shared" si="1"/>
        <v>－</v>
      </c>
      <c r="H15" s="159" t="str">
        <f t="shared" si="1"/>
        <v>－</v>
      </c>
      <c r="I15" s="159" t="str">
        <f t="shared" si="1"/>
        <v>－</v>
      </c>
      <c r="J15" s="159" t="str">
        <f t="shared" si="1"/>
        <v>－</v>
      </c>
      <c r="K15" s="159" t="str">
        <f t="shared" si="1"/>
        <v>－</v>
      </c>
      <c r="L15" s="159" t="str">
        <f t="shared" si="1"/>
        <v>－</v>
      </c>
      <c r="M15" s="159" t="str">
        <f t="shared" si="1"/>
        <v>－</v>
      </c>
      <c r="N15" s="159" t="str">
        <f t="shared" si="1"/>
        <v>－</v>
      </c>
      <c r="O15" s="159" t="str">
        <f t="shared" si="1"/>
        <v>－</v>
      </c>
      <c r="P15" s="159" t="str">
        <f t="shared" si="1"/>
        <v>－</v>
      </c>
      <c r="Q15" s="159" t="str">
        <f t="shared" si="1"/>
        <v>－</v>
      </c>
      <c r="R15" s="159" t="str">
        <f t="shared" si="1"/>
        <v>－</v>
      </c>
      <c r="S15" s="159" t="str">
        <f t="shared" si="1"/>
        <v>－</v>
      </c>
      <c r="T15" s="159" t="str">
        <f t="shared" si="1"/>
        <v>－</v>
      </c>
      <c r="U15" s="159" t="str">
        <f t="shared" si="1"/>
        <v>－</v>
      </c>
      <c r="V15" s="159" t="str">
        <f t="shared" si="1"/>
        <v>－</v>
      </c>
      <c r="W15" s="132"/>
      <c r="X15" s="36"/>
    </row>
    <row r="16" spans="2:26" ht="18">
      <c r="B16" s="38" t="s">
        <v>193</v>
      </c>
      <c r="C16" s="209">
        <f>$C$14*$C$8</f>
        <v>0</v>
      </c>
      <c r="D16" s="209">
        <f aca="true" t="shared" si="2" ref="D16:V16">IF(AND(D13&lt;=$C$4,D13&lt;&gt;0),ROUNDDOWN(C$17*$C$8,0),)</f>
        <v>0</v>
      </c>
      <c r="E16" s="209">
        <f t="shared" si="2"/>
        <v>0</v>
      </c>
      <c r="F16" s="209">
        <f t="shared" si="2"/>
        <v>0</v>
      </c>
      <c r="G16" s="209">
        <f t="shared" si="2"/>
        <v>0</v>
      </c>
      <c r="H16" s="209">
        <f t="shared" si="2"/>
        <v>0</v>
      </c>
      <c r="I16" s="209">
        <f t="shared" si="2"/>
        <v>0</v>
      </c>
      <c r="J16" s="209">
        <f t="shared" si="2"/>
        <v>0</v>
      </c>
      <c r="K16" s="209">
        <f t="shared" si="2"/>
        <v>0</v>
      </c>
      <c r="L16" s="209">
        <f t="shared" si="2"/>
        <v>0</v>
      </c>
      <c r="M16" s="209">
        <f t="shared" si="2"/>
        <v>0</v>
      </c>
      <c r="N16" s="209">
        <f t="shared" si="2"/>
        <v>0</v>
      </c>
      <c r="O16" s="209">
        <f t="shared" si="2"/>
        <v>0</v>
      </c>
      <c r="P16" s="209">
        <f t="shared" si="2"/>
        <v>0</v>
      </c>
      <c r="Q16" s="209">
        <f t="shared" si="2"/>
        <v>0</v>
      </c>
      <c r="R16" s="209">
        <f t="shared" si="2"/>
        <v>0</v>
      </c>
      <c r="S16" s="209">
        <f t="shared" si="2"/>
        <v>0</v>
      </c>
      <c r="T16" s="209">
        <f t="shared" si="2"/>
        <v>0</v>
      </c>
      <c r="U16" s="209">
        <f t="shared" si="2"/>
        <v>0</v>
      </c>
      <c r="V16" s="209">
        <f t="shared" si="2"/>
        <v>0</v>
      </c>
      <c r="W16" s="132"/>
      <c r="X16" s="36"/>
      <c r="Z16" s="198"/>
    </row>
    <row r="17" spans="2:26" ht="18">
      <c r="B17" s="38" t="s">
        <v>297</v>
      </c>
      <c r="C17" s="42">
        <f>$C$3-$C$16</f>
        <v>0</v>
      </c>
      <c r="D17" s="42">
        <f aca="true" t="shared" si="3" ref="D17:V17">IF(AND(D13&lt;=$C$4,D13&lt;&gt;0),C$17-D$16,)</f>
        <v>0</v>
      </c>
      <c r="E17" s="42">
        <f t="shared" si="3"/>
        <v>0</v>
      </c>
      <c r="F17" s="42">
        <f t="shared" si="3"/>
        <v>0</v>
      </c>
      <c r="G17" s="42">
        <f t="shared" si="3"/>
        <v>0</v>
      </c>
      <c r="H17" s="42">
        <f t="shared" si="3"/>
        <v>0</v>
      </c>
      <c r="I17" s="42">
        <f t="shared" si="3"/>
        <v>0</v>
      </c>
      <c r="J17" s="42">
        <f t="shared" si="3"/>
        <v>0</v>
      </c>
      <c r="K17" s="42">
        <f t="shared" si="3"/>
        <v>0</v>
      </c>
      <c r="L17" s="42">
        <f t="shared" si="3"/>
        <v>0</v>
      </c>
      <c r="M17" s="42">
        <f t="shared" si="3"/>
        <v>0</v>
      </c>
      <c r="N17" s="42">
        <f t="shared" si="3"/>
        <v>0</v>
      </c>
      <c r="O17" s="42">
        <f t="shared" si="3"/>
        <v>0</v>
      </c>
      <c r="P17" s="42">
        <f t="shared" si="3"/>
        <v>0</v>
      </c>
      <c r="Q17" s="42">
        <f t="shared" si="3"/>
        <v>0</v>
      </c>
      <c r="R17" s="42">
        <f t="shared" si="3"/>
        <v>0</v>
      </c>
      <c r="S17" s="42">
        <f t="shared" si="3"/>
        <v>0</v>
      </c>
      <c r="T17" s="42">
        <f t="shared" si="3"/>
        <v>0</v>
      </c>
      <c r="U17" s="42">
        <f t="shared" si="3"/>
        <v>0</v>
      </c>
      <c r="V17" s="42">
        <f t="shared" si="3"/>
        <v>0</v>
      </c>
      <c r="W17" s="132"/>
      <c r="X17" s="36"/>
      <c r="Z17" s="198"/>
    </row>
    <row r="18" spans="2:26" s="210" customFormat="1" ht="18">
      <c r="B18" s="38" t="s">
        <v>20</v>
      </c>
      <c r="C18" s="184">
        <f>ROUNDDOWN($C$14*$C$15,0)</f>
        <v>0</v>
      </c>
      <c r="D18" s="111">
        <f aca="true" t="shared" si="4" ref="D18:V18">IF(C19&lt;=1,0,IF(C19-C18&lt;10,C18+(C19-C18-1),IF(C18=C19,C18-1,IF(AND(D16&lt;$C$11,C16&lt;$C$11),C18,IF(D16&lt;$C$11,ROUNDDOWN(C$19*$C$9,0),ROUNDDOWN(C$19*$C$8,0))))))</f>
        <v>0</v>
      </c>
      <c r="E18" s="111">
        <f t="shared" si="4"/>
        <v>0</v>
      </c>
      <c r="F18" s="111">
        <f t="shared" si="4"/>
        <v>0</v>
      </c>
      <c r="G18" s="111">
        <f t="shared" si="4"/>
        <v>0</v>
      </c>
      <c r="H18" s="111">
        <f t="shared" si="4"/>
        <v>0</v>
      </c>
      <c r="I18" s="111">
        <f t="shared" si="4"/>
        <v>0</v>
      </c>
      <c r="J18" s="111">
        <f t="shared" si="4"/>
        <v>0</v>
      </c>
      <c r="K18" s="111">
        <f t="shared" si="4"/>
        <v>0</v>
      </c>
      <c r="L18" s="111">
        <f t="shared" si="4"/>
        <v>0</v>
      </c>
      <c r="M18" s="111">
        <f t="shared" si="4"/>
        <v>0</v>
      </c>
      <c r="N18" s="111">
        <f t="shared" si="4"/>
        <v>0</v>
      </c>
      <c r="O18" s="111">
        <f t="shared" si="4"/>
        <v>0</v>
      </c>
      <c r="P18" s="111">
        <f t="shared" si="4"/>
        <v>0</v>
      </c>
      <c r="Q18" s="111">
        <f t="shared" si="4"/>
        <v>0</v>
      </c>
      <c r="R18" s="111">
        <f t="shared" si="4"/>
        <v>0</v>
      </c>
      <c r="S18" s="111">
        <f t="shared" si="4"/>
        <v>0</v>
      </c>
      <c r="T18" s="111">
        <f t="shared" si="4"/>
        <v>0</v>
      </c>
      <c r="U18" s="111">
        <f t="shared" si="4"/>
        <v>0</v>
      </c>
      <c r="V18" s="111">
        <f t="shared" si="4"/>
        <v>0</v>
      </c>
      <c r="W18" s="209">
        <f>SUM(C18:V18)</f>
        <v>0</v>
      </c>
      <c r="X18" s="106">
        <f>C3</f>
        <v>0</v>
      </c>
      <c r="Z18" s="131"/>
    </row>
    <row r="19" spans="2:26" ht="18" thickBot="1">
      <c r="B19" s="62" t="s">
        <v>301</v>
      </c>
      <c r="C19" s="205">
        <f>$C$14-$C$18</f>
        <v>0</v>
      </c>
      <c r="D19" s="205">
        <f aca="true" t="shared" si="5" ref="D19:V19">IF(C19-C18&lt;10,0,IF(D18&lt;=0,0,C$19-D$18))</f>
        <v>0</v>
      </c>
      <c r="E19" s="205">
        <f t="shared" si="5"/>
        <v>0</v>
      </c>
      <c r="F19" s="205">
        <f t="shared" si="5"/>
        <v>0</v>
      </c>
      <c r="G19" s="205">
        <f t="shared" si="5"/>
        <v>0</v>
      </c>
      <c r="H19" s="205">
        <f t="shared" si="5"/>
        <v>0</v>
      </c>
      <c r="I19" s="205">
        <f t="shared" si="5"/>
        <v>0</v>
      </c>
      <c r="J19" s="205">
        <f t="shared" si="5"/>
        <v>0</v>
      </c>
      <c r="K19" s="205">
        <f t="shared" si="5"/>
        <v>0</v>
      </c>
      <c r="L19" s="205">
        <f t="shared" si="5"/>
        <v>0</v>
      </c>
      <c r="M19" s="205">
        <f t="shared" si="5"/>
        <v>0</v>
      </c>
      <c r="N19" s="205">
        <f t="shared" si="5"/>
        <v>0</v>
      </c>
      <c r="O19" s="205">
        <f t="shared" si="5"/>
        <v>0</v>
      </c>
      <c r="P19" s="205">
        <f t="shared" si="5"/>
        <v>0</v>
      </c>
      <c r="Q19" s="205">
        <f t="shared" si="5"/>
        <v>0</v>
      </c>
      <c r="R19" s="205">
        <f t="shared" si="5"/>
        <v>0</v>
      </c>
      <c r="S19" s="205">
        <f t="shared" si="5"/>
        <v>0</v>
      </c>
      <c r="T19" s="205">
        <f t="shared" si="5"/>
        <v>0</v>
      </c>
      <c r="U19" s="205">
        <f t="shared" si="5"/>
        <v>0</v>
      </c>
      <c r="V19" s="205">
        <f t="shared" si="5"/>
        <v>0</v>
      </c>
      <c r="W19" s="86"/>
      <c r="X19" s="164"/>
      <c r="Z19" s="198"/>
    </row>
    <row r="20" spans="2:22" ht="18" thickBot="1">
      <c r="B20" s="132"/>
      <c r="C20" s="132"/>
      <c r="D20" s="132"/>
      <c r="E20" s="132"/>
      <c r="F20" s="132"/>
      <c r="G20" s="132"/>
      <c r="H20" s="132"/>
      <c r="I20" s="132"/>
      <c r="J20" s="132"/>
      <c r="K20" s="132"/>
      <c r="L20" s="132"/>
      <c r="M20" s="132"/>
      <c r="N20" s="132"/>
      <c r="O20" s="132"/>
      <c r="P20" s="132"/>
      <c r="Q20" s="132"/>
      <c r="R20" s="132"/>
      <c r="S20" s="132"/>
      <c r="T20" s="132"/>
      <c r="U20" s="132"/>
      <c r="V20" s="132"/>
    </row>
    <row r="21" spans="2:24" ht="18">
      <c r="B21" s="162" t="s">
        <v>47</v>
      </c>
      <c r="C21" s="127"/>
      <c r="D21" s="186"/>
      <c r="E21" s="186"/>
      <c r="F21" s="186"/>
      <c r="G21" s="186"/>
      <c r="H21" s="186"/>
      <c r="I21" s="186"/>
      <c r="J21" s="186"/>
      <c r="K21" s="186"/>
      <c r="L21" s="186"/>
      <c r="M21" s="186"/>
      <c r="N21" s="186"/>
      <c r="O21" s="186"/>
      <c r="P21" s="186"/>
      <c r="Q21" s="186"/>
      <c r="R21" s="186"/>
      <c r="S21" s="186"/>
      <c r="T21" s="186"/>
      <c r="U21" s="186"/>
      <c r="V21" s="186"/>
      <c r="W21" s="186"/>
      <c r="X21" s="45"/>
    </row>
    <row r="22" spans="2:24" ht="18">
      <c r="B22" s="99"/>
      <c r="C22" s="54">
        <v>1</v>
      </c>
      <c r="D22" s="54">
        <v>2</v>
      </c>
      <c r="E22" s="54">
        <v>3</v>
      </c>
      <c r="F22" s="54">
        <v>4</v>
      </c>
      <c r="G22" s="54">
        <v>5</v>
      </c>
      <c r="H22" s="54">
        <v>6</v>
      </c>
      <c r="I22" s="54">
        <v>7</v>
      </c>
      <c r="J22" s="54">
        <v>8</v>
      </c>
      <c r="K22" s="54">
        <v>9</v>
      </c>
      <c r="L22" s="54">
        <v>10</v>
      </c>
      <c r="M22" s="54">
        <v>11</v>
      </c>
      <c r="N22" s="54">
        <v>12</v>
      </c>
      <c r="O22" s="54">
        <v>13</v>
      </c>
      <c r="P22" s="54">
        <v>14</v>
      </c>
      <c r="Q22" s="54">
        <v>15</v>
      </c>
      <c r="R22" s="54">
        <v>16</v>
      </c>
      <c r="S22" s="54">
        <v>17</v>
      </c>
      <c r="T22" s="54">
        <v>18</v>
      </c>
      <c r="U22" s="54">
        <v>19</v>
      </c>
      <c r="V22" s="54">
        <v>20</v>
      </c>
      <c r="W22" s="132"/>
      <c r="X22" s="36"/>
    </row>
    <row r="23" spans="2:24" ht="18" thickBot="1">
      <c r="B23" s="129" t="s">
        <v>20</v>
      </c>
      <c r="C23" s="15">
        <f>$C$3</f>
        <v>0</v>
      </c>
      <c r="D23" s="86">
        <v>0</v>
      </c>
      <c r="E23" s="86">
        <v>0</v>
      </c>
      <c r="F23" s="86">
        <v>0</v>
      </c>
      <c r="G23" s="86">
        <v>0</v>
      </c>
      <c r="H23" s="86">
        <v>0</v>
      </c>
      <c r="I23" s="86">
        <v>0</v>
      </c>
      <c r="J23" s="86">
        <v>0</v>
      </c>
      <c r="K23" s="86">
        <v>0</v>
      </c>
      <c r="L23" s="86">
        <v>0</v>
      </c>
      <c r="M23" s="86">
        <v>0</v>
      </c>
      <c r="N23" s="86">
        <v>0</v>
      </c>
      <c r="O23" s="86">
        <v>0</v>
      </c>
      <c r="P23" s="86">
        <v>0</v>
      </c>
      <c r="Q23" s="86">
        <v>0</v>
      </c>
      <c r="R23" s="86">
        <v>0</v>
      </c>
      <c r="S23" s="86">
        <v>0</v>
      </c>
      <c r="T23" s="86">
        <v>0</v>
      </c>
      <c r="U23" s="86">
        <v>0</v>
      </c>
      <c r="V23" s="86">
        <v>0</v>
      </c>
      <c r="W23" s="86"/>
      <c r="X23" s="164"/>
    </row>
    <row r="24" ht="18" thickBot="1"/>
    <row r="25" spans="2:24" ht="18">
      <c r="B25" s="162" t="s">
        <v>122</v>
      </c>
      <c r="C25" s="127"/>
      <c r="D25" s="127"/>
      <c r="E25" s="127"/>
      <c r="F25" s="127"/>
      <c r="G25" s="127"/>
      <c r="H25" s="127"/>
      <c r="I25" s="127"/>
      <c r="J25" s="127"/>
      <c r="K25" s="127"/>
      <c r="L25" s="127"/>
      <c r="M25" s="127"/>
      <c r="N25" s="127"/>
      <c r="O25" s="127"/>
      <c r="P25" s="127"/>
      <c r="Q25" s="127"/>
      <c r="R25" s="127"/>
      <c r="S25" s="127"/>
      <c r="T25" s="127"/>
      <c r="U25" s="127"/>
      <c r="V25" s="127"/>
      <c r="W25" s="186"/>
      <c r="X25" s="45"/>
    </row>
    <row r="26" spans="2:24" ht="18">
      <c r="B26" s="38" t="s">
        <v>62</v>
      </c>
      <c r="C26" s="66">
        <f>VLOOKUP(C4,'減価償却率表'!A9:E107,3)</f>
        <v>0.118</v>
      </c>
      <c r="D26" s="66"/>
      <c r="E26" s="66"/>
      <c r="F26" s="66"/>
      <c r="G26" s="66"/>
      <c r="H26" s="66"/>
      <c r="I26" s="66"/>
      <c r="J26" s="66"/>
      <c r="K26" s="66"/>
      <c r="L26" s="66"/>
      <c r="M26" s="66"/>
      <c r="N26" s="66"/>
      <c r="O26" s="66"/>
      <c r="P26" s="66"/>
      <c r="Q26" s="66"/>
      <c r="R26" s="66"/>
      <c r="S26" s="66"/>
      <c r="T26" s="66"/>
      <c r="U26" s="66"/>
      <c r="V26" s="66"/>
      <c r="W26" s="132"/>
      <c r="X26" s="36"/>
    </row>
    <row r="27" spans="2:24" ht="18">
      <c r="B27" s="38" t="s">
        <v>222</v>
      </c>
      <c r="C27" s="66">
        <f>VLOOKUP(C4,'減価償却率表'!A9:E107,4)</f>
        <v>0.125</v>
      </c>
      <c r="D27" s="66"/>
      <c r="E27" s="66"/>
      <c r="F27" s="66"/>
      <c r="G27" s="66"/>
      <c r="H27" s="66"/>
      <c r="I27" s="66"/>
      <c r="J27" s="66"/>
      <c r="K27" s="66"/>
      <c r="L27" s="66"/>
      <c r="M27" s="66"/>
      <c r="N27" s="66"/>
      <c r="O27" s="66"/>
      <c r="P27" s="66"/>
      <c r="Q27" s="66"/>
      <c r="R27" s="66"/>
      <c r="S27" s="66"/>
      <c r="T27" s="66"/>
      <c r="U27" s="66"/>
      <c r="V27" s="66"/>
      <c r="W27" s="132"/>
      <c r="X27" s="36"/>
    </row>
    <row r="28" spans="2:24" ht="18">
      <c r="B28" s="38" t="s">
        <v>322</v>
      </c>
      <c r="C28" s="66">
        <f>VLOOKUP(C4,'減価償却率表'!A9:E107,5)</f>
        <v>0.04038</v>
      </c>
      <c r="D28" s="66"/>
      <c r="E28" s="66"/>
      <c r="F28" s="66"/>
      <c r="G28" s="66"/>
      <c r="H28" s="66"/>
      <c r="I28" s="66"/>
      <c r="J28" s="66"/>
      <c r="K28" s="66"/>
      <c r="L28" s="66"/>
      <c r="M28" s="66"/>
      <c r="N28" s="66"/>
      <c r="O28" s="66"/>
      <c r="P28" s="66"/>
      <c r="Q28" s="66"/>
      <c r="R28" s="66"/>
      <c r="S28" s="66"/>
      <c r="T28" s="66"/>
      <c r="U28" s="66"/>
      <c r="V28" s="66"/>
      <c r="W28" s="132"/>
      <c r="X28" s="36"/>
    </row>
    <row r="29" spans="2:24" ht="18">
      <c r="B29" s="38" t="s">
        <v>184</v>
      </c>
      <c r="C29" s="184">
        <f>$C$3*$C$28</f>
        <v>0</v>
      </c>
      <c r="D29" s="66"/>
      <c r="E29" s="66"/>
      <c r="F29" s="66"/>
      <c r="G29" s="66"/>
      <c r="H29" s="66"/>
      <c r="I29" s="66"/>
      <c r="J29" s="66"/>
      <c r="K29" s="66"/>
      <c r="L29" s="66"/>
      <c r="M29" s="66"/>
      <c r="N29" s="66"/>
      <c r="O29" s="66"/>
      <c r="P29" s="66"/>
      <c r="Q29" s="66"/>
      <c r="R29" s="66"/>
      <c r="S29" s="66"/>
      <c r="T29" s="66"/>
      <c r="U29" s="66"/>
      <c r="V29" s="66"/>
      <c r="W29" s="132"/>
      <c r="X29" s="36"/>
    </row>
    <row r="30" spans="2:24" ht="18">
      <c r="B30" s="38"/>
      <c r="C30" s="66"/>
      <c r="D30" s="66"/>
      <c r="E30" s="66"/>
      <c r="F30" s="66"/>
      <c r="G30" s="66"/>
      <c r="H30" s="66"/>
      <c r="I30" s="66"/>
      <c r="J30" s="66"/>
      <c r="K30" s="66"/>
      <c r="L30" s="66"/>
      <c r="M30" s="66"/>
      <c r="N30" s="66"/>
      <c r="O30" s="66"/>
      <c r="P30" s="66"/>
      <c r="Q30" s="66"/>
      <c r="R30" s="66"/>
      <c r="S30" s="66"/>
      <c r="T30" s="66"/>
      <c r="U30" s="66"/>
      <c r="V30" s="66"/>
      <c r="W30" s="132"/>
      <c r="X30" s="36"/>
    </row>
    <row r="31" spans="2:24" ht="18">
      <c r="B31" s="38"/>
      <c r="C31" s="206">
        <v>1</v>
      </c>
      <c r="D31" s="206">
        <v>2</v>
      </c>
      <c r="E31" s="206">
        <v>3</v>
      </c>
      <c r="F31" s="206">
        <v>4</v>
      </c>
      <c r="G31" s="206">
        <v>5</v>
      </c>
      <c r="H31" s="206">
        <v>6</v>
      </c>
      <c r="I31" s="206">
        <v>7</v>
      </c>
      <c r="J31" s="206">
        <v>8</v>
      </c>
      <c r="K31" s="206">
        <v>9</v>
      </c>
      <c r="L31" s="206">
        <v>10</v>
      </c>
      <c r="M31" s="206">
        <v>11</v>
      </c>
      <c r="N31" s="206">
        <v>12</v>
      </c>
      <c r="O31" s="206">
        <v>13</v>
      </c>
      <c r="P31" s="206">
        <v>14</v>
      </c>
      <c r="Q31" s="206">
        <v>15</v>
      </c>
      <c r="R31" s="206">
        <v>16</v>
      </c>
      <c r="S31" s="206">
        <v>17</v>
      </c>
      <c r="T31" s="206">
        <v>18</v>
      </c>
      <c r="U31" s="206">
        <v>19</v>
      </c>
      <c r="V31" s="206">
        <v>20</v>
      </c>
      <c r="W31" s="132"/>
      <c r="X31" s="36"/>
    </row>
    <row r="32" spans="2:24" ht="18">
      <c r="B32" s="38" t="s">
        <v>106</v>
      </c>
      <c r="C32" s="168">
        <f>$C$3</f>
        <v>0</v>
      </c>
      <c r="D32" s="168">
        <f aca="true" t="shared" si="6" ref="D32:V32">IF(C32-C36&lt;0,0,C32-C36)</f>
        <v>0</v>
      </c>
      <c r="E32" s="168">
        <f t="shared" si="6"/>
        <v>0</v>
      </c>
      <c r="F32" s="168">
        <f t="shared" si="6"/>
        <v>0</v>
      </c>
      <c r="G32" s="168">
        <f t="shared" si="6"/>
        <v>0</v>
      </c>
      <c r="H32" s="168">
        <f t="shared" si="6"/>
        <v>0</v>
      </c>
      <c r="I32" s="168">
        <f t="shared" si="6"/>
        <v>0</v>
      </c>
      <c r="J32" s="168">
        <f t="shared" si="6"/>
        <v>0</v>
      </c>
      <c r="K32" s="168">
        <f t="shared" si="6"/>
        <v>0</v>
      </c>
      <c r="L32" s="168">
        <f t="shared" si="6"/>
        <v>0</v>
      </c>
      <c r="M32" s="168">
        <f t="shared" si="6"/>
        <v>0</v>
      </c>
      <c r="N32" s="168">
        <f t="shared" si="6"/>
        <v>0</v>
      </c>
      <c r="O32" s="168">
        <f t="shared" si="6"/>
        <v>0</v>
      </c>
      <c r="P32" s="168">
        <f t="shared" si="6"/>
        <v>0</v>
      </c>
      <c r="Q32" s="168">
        <f t="shared" si="6"/>
        <v>0</v>
      </c>
      <c r="R32" s="168">
        <f t="shared" si="6"/>
        <v>0</v>
      </c>
      <c r="S32" s="168">
        <f t="shared" si="6"/>
        <v>0</v>
      </c>
      <c r="T32" s="168">
        <f t="shared" si="6"/>
        <v>0</v>
      </c>
      <c r="U32" s="168">
        <f t="shared" si="6"/>
        <v>0</v>
      </c>
      <c r="V32" s="168">
        <f t="shared" si="6"/>
        <v>0</v>
      </c>
      <c r="W32" s="132"/>
      <c r="X32" s="36"/>
    </row>
    <row r="33" spans="2:24" ht="18">
      <c r="B33" s="38" t="s">
        <v>318</v>
      </c>
      <c r="C33" s="12">
        <f>C26+0.3</f>
        <v>0.418</v>
      </c>
      <c r="D33" s="12">
        <f aca="true" t="shared" si="7" ref="D33:V33">IF(OR(C33=$C$27,C33="－"),"－",IF(D32*$C$26&gt;$C$29,$C$26,$C$27))</f>
        <v>0.125</v>
      </c>
      <c r="E33" s="12" t="str">
        <f t="shared" si="7"/>
        <v>－</v>
      </c>
      <c r="F33" s="12" t="str">
        <f t="shared" si="7"/>
        <v>－</v>
      </c>
      <c r="G33" s="12" t="str">
        <f t="shared" si="7"/>
        <v>－</v>
      </c>
      <c r="H33" s="12" t="str">
        <f t="shared" si="7"/>
        <v>－</v>
      </c>
      <c r="I33" s="12" t="str">
        <f t="shared" si="7"/>
        <v>－</v>
      </c>
      <c r="J33" s="12" t="str">
        <f t="shared" si="7"/>
        <v>－</v>
      </c>
      <c r="K33" s="12" t="str">
        <f t="shared" si="7"/>
        <v>－</v>
      </c>
      <c r="L33" s="12" t="str">
        <f t="shared" si="7"/>
        <v>－</v>
      </c>
      <c r="M33" s="12" t="str">
        <f t="shared" si="7"/>
        <v>－</v>
      </c>
      <c r="N33" s="12" t="str">
        <f t="shared" si="7"/>
        <v>－</v>
      </c>
      <c r="O33" s="12" t="str">
        <f t="shared" si="7"/>
        <v>－</v>
      </c>
      <c r="P33" s="12" t="str">
        <f t="shared" si="7"/>
        <v>－</v>
      </c>
      <c r="Q33" s="12" t="str">
        <f t="shared" si="7"/>
        <v>－</v>
      </c>
      <c r="R33" s="12" t="str">
        <f t="shared" si="7"/>
        <v>－</v>
      </c>
      <c r="S33" s="12" t="str">
        <f t="shared" si="7"/>
        <v>－</v>
      </c>
      <c r="T33" s="12" t="str">
        <f t="shared" si="7"/>
        <v>－</v>
      </c>
      <c r="U33" s="12" t="str">
        <f t="shared" si="7"/>
        <v>－</v>
      </c>
      <c r="V33" s="12" t="str">
        <f t="shared" si="7"/>
        <v>－</v>
      </c>
      <c r="W33" s="132"/>
      <c r="X33" s="36"/>
    </row>
    <row r="34" spans="2:24" ht="18">
      <c r="B34" s="38" t="s">
        <v>193</v>
      </c>
      <c r="C34" s="168">
        <f>C32*C33</f>
        <v>0</v>
      </c>
      <c r="D34" s="209">
        <f aca="true" t="shared" si="8" ref="D34:V34">IF(AND(D31&lt;=$C$4,D31&lt;&gt;0),ROUNDDOWN(C35*$C$26,0),)</f>
        <v>0</v>
      </c>
      <c r="E34" s="209">
        <f t="shared" si="8"/>
        <v>0</v>
      </c>
      <c r="F34" s="209">
        <f t="shared" si="8"/>
        <v>0</v>
      </c>
      <c r="G34" s="209">
        <f t="shared" si="8"/>
        <v>0</v>
      </c>
      <c r="H34" s="209">
        <f t="shared" si="8"/>
        <v>0</v>
      </c>
      <c r="I34" s="209">
        <f t="shared" si="8"/>
        <v>0</v>
      </c>
      <c r="J34" s="209">
        <f t="shared" si="8"/>
        <v>0</v>
      </c>
      <c r="K34" s="209">
        <f t="shared" si="8"/>
        <v>0</v>
      </c>
      <c r="L34" s="209">
        <f t="shared" si="8"/>
        <v>0</v>
      </c>
      <c r="M34" s="209">
        <f t="shared" si="8"/>
        <v>0</v>
      </c>
      <c r="N34" s="209">
        <f t="shared" si="8"/>
        <v>0</v>
      </c>
      <c r="O34" s="209">
        <f t="shared" si="8"/>
        <v>0</v>
      </c>
      <c r="P34" s="209">
        <f t="shared" si="8"/>
        <v>0</v>
      </c>
      <c r="Q34" s="209">
        <f t="shared" si="8"/>
        <v>0</v>
      </c>
      <c r="R34" s="209">
        <f t="shared" si="8"/>
        <v>0</v>
      </c>
      <c r="S34" s="209">
        <f t="shared" si="8"/>
        <v>0</v>
      </c>
      <c r="T34" s="209">
        <f t="shared" si="8"/>
        <v>0</v>
      </c>
      <c r="U34" s="209">
        <f t="shared" si="8"/>
        <v>0</v>
      </c>
      <c r="V34" s="209">
        <f t="shared" si="8"/>
        <v>0</v>
      </c>
      <c r="W34" s="132"/>
      <c r="X34" s="36"/>
    </row>
    <row r="35" spans="2:24" ht="18">
      <c r="B35" s="38" t="s">
        <v>297</v>
      </c>
      <c r="C35" s="26">
        <f>C32-C34</f>
        <v>0</v>
      </c>
      <c r="D35" s="26">
        <f aca="true" t="shared" si="9" ref="D35:V35">IF(AND(D31&lt;=$C$4,D31&lt;&gt;0),IF(D32-D34&lt;0,0,D32-D34))</f>
        <v>0</v>
      </c>
      <c r="E35" s="26">
        <f t="shared" si="9"/>
        <v>0</v>
      </c>
      <c r="F35" s="26">
        <f t="shared" si="9"/>
        <v>0</v>
      </c>
      <c r="G35" s="26">
        <f t="shared" si="9"/>
        <v>0</v>
      </c>
      <c r="H35" s="26">
        <f t="shared" si="9"/>
        <v>0</v>
      </c>
      <c r="I35" s="26">
        <f t="shared" si="9"/>
        <v>0</v>
      </c>
      <c r="J35" s="26">
        <f t="shared" si="9"/>
        <v>0</v>
      </c>
      <c r="K35" s="26">
        <f t="shared" si="9"/>
        <v>0</v>
      </c>
      <c r="L35" s="26">
        <f t="shared" si="9"/>
        <v>0</v>
      </c>
      <c r="M35" s="26">
        <f t="shared" si="9"/>
        <v>0</v>
      </c>
      <c r="N35" s="26">
        <f t="shared" si="9"/>
        <v>0</v>
      </c>
      <c r="O35" s="26">
        <f t="shared" si="9"/>
        <v>0</v>
      </c>
      <c r="P35" s="26">
        <f t="shared" si="9"/>
        <v>0</v>
      </c>
      <c r="Q35" s="26">
        <f t="shared" si="9"/>
        <v>0</v>
      </c>
      <c r="R35" s="26">
        <f t="shared" si="9"/>
        <v>0</v>
      </c>
      <c r="S35" s="26">
        <f t="shared" si="9"/>
        <v>0</v>
      </c>
      <c r="T35" s="26" t="b">
        <f t="shared" si="9"/>
        <v>0</v>
      </c>
      <c r="U35" s="26" t="b">
        <f t="shared" si="9"/>
        <v>0</v>
      </c>
      <c r="V35" s="26" t="b">
        <f t="shared" si="9"/>
        <v>0</v>
      </c>
      <c r="W35" s="56"/>
      <c r="X35" s="36"/>
    </row>
    <row r="36" spans="2:24" s="210" customFormat="1" ht="18">
      <c r="B36" s="38" t="s">
        <v>20</v>
      </c>
      <c r="C36" s="168">
        <f>C32*C33</f>
        <v>0</v>
      </c>
      <c r="D36" s="111">
        <f>IF(C37&lt;=1,0,IF(C36=C37,C36-1,IF(AND(D34&lt;$C$29,C34&lt;$C$29),C36,IF(D34&lt;$C$29,ROUNDDOWN(C$37*$C$27,0),ROUNDDOWN(C$37*$C$26,0)))))</f>
        <v>0</v>
      </c>
      <c r="E36" s="111">
        <f aca="true" t="shared" si="10" ref="E36:V36">IF(D37&lt;=1,0,IF(D37-D36&lt;10,D37-1,IF(D36=D37,D36-1,IF(AND(E34&lt;$C$29,D34&lt;$C$29),D36,IF(E34&lt;$C$29,ROUNDDOWN(D$37*$C$27,0),ROUNDDOWN(D$37*$C$26,0))))))</f>
        <v>0</v>
      </c>
      <c r="F36" s="111">
        <f t="shared" si="10"/>
        <v>0</v>
      </c>
      <c r="G36" s="111">
        <f t="shared" si="10"/>
        <v>0</v>
      </c>
      <c r="H36" s="111">
        <f t="shared" si="10"/>
        <v>0</v>
      </c>
      <c r="I36" s="111">
        <f t="shared" si="10"/>
        <v>0</v>
      </c>
      <c r="J36" s="111">
        <f t="shared" si="10"/>
        <v>0</v>
      </c>
      <c r="K36" s="111">
        <f t="shared" si="10"/>
        <v>0</v>
      </c>
      <c r="L36" s="111">
        <f t="shared" si="10"/>
        <v>0</v>
      </c>
      <c r="M36" s="111">
        <f t="shared" si="10"/>
        <v>0</v>
      </c>
      <c r="N36" s="111">
        <f t="shared" si="10"/>
        <v>0</v>
      </c>
      <c r="O36" s="111">
        <f t="shared" si="10"/>
        <v>0</v>
      </c>
      <c r="P36" s="111">
        <f t="shared" si="10"/>
        <v>0</v>
      </c>
      <c r="Q36" s="111">
        <f t="shared" si="10"/>
        <v>0</v>
      </c>
      <c r="R36" s="111">
        <f t="shared" si="10"/>
        <v>0</v>
      </c>
      <c r="S36" s="111">
        <f t="shared" si="10"/>
        <v>0</v>
      </c>
      <c r="T36" s="111">
        <f t="shared" si="10"/>
        <v>0</v>
      </c>
      <c r="U36" s="111">
        <f t="shared" si="10"/>
        <v>0</v>
      </c>
      <c r="V36" s="111">
        <f t="shared" si="10"/>
        <v>0</v>
      </c>
      <c r="W36" s="209">
        <f>SUM(C36:V36)</f>
        <v>0</v>
      </c>
      <c r="X36" s="106">
        <f>C3</f>
        <v>0</v>
      </c>
    </row>
    <row r="37" spans="2:24" ht="18" thickBot="1">
      <c r="B37" s="62" t="s">
        <v>301</v>
      </c>
      <c r="C37" s="52">
        <f>C32-C36</f>
        <v>0</v>
      </c>
      <c r="D37" s="52">
        <f aca="true" t="shared" si="11" ref="D37:V37">IF(D36&lt;=0,0,C37-D36)</f>
        <v>0</v>
      </c>
      <c r="E37" s="52">
        <f t="shared" si="11"/>
        <v>0</v>
      </c>
      <c r="F37" s="52">
        <f t="shared" si="11"/>
        <v>0</v>
      </c>
      <c r="G37" s="52">
        <f t="shared" si="11"/>
        <v>0</v>
      </c>
      <c r="H37" s="52">
        <f t="shared" si="11"/>
        <v>0</v>
      </c>
      <c r="I37" s="52">
        <f t="shared" si="11"/>
        <v>0</v>
      </c>
      <c r="J37" s="52">
        <f t="shared" si="11"/>
        <v>0</v>
      </c>
      <c r="K37" s="52">
        <f t="shared" si="11"/>
        <v>0</v>
      </c>
      <c r="L37" s="52">
        <f t="shared" si="11"/>
        <v>0</v>
      </c>
      <c r="M37" s="52">
        <f t="shared" si="11"/>
        <v>0</v>
      </c>
      <c r="N37" s="52">
        <f t="shared" si="11"/>
        <v>0</v>
      </c>
      <c r="O37" s="52">
        <f t="shared" si="11"/>
        <v>0</v>
      </c>
      <c r="P37" s="52">
        <f t="shared" si="11"/>
        <v>0</v>
      </c>
      <c r="Q37" s="52">
        <f t="shared" si="11"/>
        <v>0</v>
      </c>
      <c r="R37" s="52">
        <f t="shared" si="11"/>
        <v>0</v>
      </c>
      <c r="S37" s="52">
        <f t="shared" si="11"/>
        <v>0</v>
      </c>
      <c r="T37" s="52">
        <f t="shared" si="11"/>
        <v>0</v>
      </c>
      <c r="U37" s="52">
        <f t="shared" si="11"/>
        <v>0</v>
      </c>
      <c r="V37" s="52">
        <f t="shared" si="11"/>
        <v>0</v>
      </c>
      <c r="W37" s="86"/>
      <c r="X37" s="164"/>
    </row>
    <row r="38" ht="18" thickBot="1"/>
    <row r="39" spans="2:24" ht="18">
      <c r="B39" s="162" t="s">
        <v>23</v>
      </c>
      <c r="C39" s="127"/>
      <c r="D39" s="127"/>
      <c r="E39" s="127"/>
      <c r="F39" s="127"/>
      <c r="G39" s="127"/>
      <c r="H39" s="127"/>
      <c r="I39" s="127"/>
      <c r="J39" s="127"/>
      <c r="K39" s="127"/>
      <c r="L39" s="127"/>
      <c r="M39" s="127"/>
      <c r="N39" s="127"/>
      <c r="O39" s="127"/>
      <c r="P39" s="127"/>
      <c r="Q39" s="127"/>
      <c r="R39" s="127"/>
      <c r="S39" s="127"/>
      <c r="T39" s="127"/>
      <c r="U39" s="127"/>
      <c r="V39" s="127"/>
      <c r="W39" s="127"/>
      <c r="X39" s="191"/>
    </row>
    <row r="40" spans="2:24" ht="18">
      <c r="B40" s="38" t="s">
        <v>62</v>
      </c>
      <c r="C40" s="66">
        <f>VLOOKUP(C4,'減価償却率表'!A9:E107,3)</f>
        <v>0.118</v>
      </c>
      <c r="D40" s="66"/>
      <c r="E40" s="66"/>
      <c r="F40" s="66"/>
      <c r="G40" s="66"/>
      <c r="H40" s="66"/>
      <c r="I40" s="66"/>
      <c r="J40" s="66"/>
      <c r="K40" s="66"/>
      <c r="L40" s="66"/>
      <c r="M40" s="66"/>
      <c r="N40" s="66"/>
      <c r="O40" s="66"/>
      <c r="P40" s="66"/>
      <c r="Q40" s="66"/>
      <c r="R40" s="66"/>
      <c r="S40" s="66"/>
      <c r="T40" s="66"/>
      <c r="U40" s="66"/>
      <c r="V40" s="66"/>
      <c r="W40" s="66"/>
      <c r="X40" s="175"/>
    </row>
    <row r="41" spans="2:24" ht="18">
      <c r="B41" s="38" t="s">
        <v>222</v>
      </c>
      <c r="C41" s="66">
        <f>VLOOKUP(C4,'減価償却率表'!A9:E107,4)</f>
        <v>0.125</v>
      </c>
      <c r="D41" s="66"/>
      <c r="E41" s="66"/>
      <c r="F41" s="66"/>
      <c r="G41" s="66"/>
      <c r="H41" s="66"/>
      <c r="I41" s="66"/>
      <c r="J41" s="66"/>
      <c r="K41" s="66"/>
      <c r="L41" s="66"/>
      <c r="M41" s="66"/>
      <c r="N41" s="66"/>
      <c r="O41" s="66"/>
      <c r="P41" s="66"/>
      <c r="Q41" s="66"/>
      <c r="R41" s="66"/>
      <c r="S41" s="66"/>
      <c r="T41" s="66"/>
      <c r="U41" s="66"/>
      <c r="V41" s="66"/>
      <c r="W41" s="66"/>
      <c r="X41" s="175"/>
    </row>
    <row r="42" spans="2:24" ht="18">
      <c r="B42" s="38" t="s">
        <v>322</v>
      </c>
      <c r="C42" s="66">
        <f>VLOOKUP(C4,'減価償却率表'!A9:E107,5)</f>
        <v>0.04038</v>
      </c>
      <c r="D42" s="66"/>
      <c r="E42" s="66"/>
      <c r="F42" s="66"/>
      <c r="G42" s="66"/>
      <c r="H42" s="66"/>
      <c r="I42" s="66"/>
      <c r="J42" s="66"/>
      <c r="K42" s="66"/>
      <c r="L42" s="66"/>
      <c r="M42" s="66"/>
      <c r="N42" s="66"/>
      <c r="O42" s="66"/>
      <c r="P42" s="66"/>
      <c r="Q42" s="66"/>
      <c r="R42" s="66"/>
      <c r="S42" s="66"/>
      <c r="T42" s="66"/>
      <c r="U42" s="66"/>
      <c r="V42" s="66"/>
      <c r="W42" s="66"/>
      <c r="X42" s="175"/>
    </row>
    <row r="43" spans="2:24" ht="18">
      <c r="B43" s="38" t="s">
        <v>184</v>
      </c>
      <c r="C43" s="184">
        <f>$C$3*$C$42</f>
        <v>0</v>
      </c>
      <c r="D43" s="66"/>
      <c r="E43" s="66"/>
      <c r="F43" s="66"/>
      <c r="G43" s="66"/>
      <c r="H43" s="66"/>
      <c r="I43" s="66"/>
      <c r="J43" s="66"/>
      <c r="K43" s="66"/>
      <c r="L43" s="66"/>
      <c r="M43" s="66"/>
      <c r="N43" s="66"/>
      <c r="O43" s="66"/>
      <c r="P43" s="66"/>
      <c r="Q43" s="66"/>
      <c r="R43" s="66"/>
      <c r="S43" s="66"/>
      <c r="T43" s="66"/>
      <c r="U43" s="66"/>
      <c r="V43" s="66"/>
      <c r="W43" s="66"/>
      <c r="X43" s="175"/>
    </row>
    <row r="44" spans="2:24" ht="18">
      <c r="B44" s="38"/>
      <c r="C44" s="66"/>
      <c r="D44" s="66"/>
      <c r="E44" s="66"/>
      <c r="F44" s="66"/>
      <c r="G44" s="66"/>
      <c r="H44" s="66"/>
      <c r="I44" s="66"/>
      <c r="J44" s="66"/>
      <c r="K44" s="66"/>
      <c r="L44" s="66"/>
      <c r="M44" s="66"/>
      <c r="N44" s="66"/>
      <c r="O44" s="66"/>
      <c r="P44" s="66"/>
      <c r="Q44" s="66"/>
      <c r="R44" s="66"/>
      <c r="S44" s="66"/>
      <c r="T44" s="66"/>
      <c r="U44" s="66"/>
      <c r="V44" s="66"/>
      <c r="W44" s="66"/>
      <c r="X44" s="175"/>
    </row>
    <row r="45" spans="2:24" ht="18">
      <c r="B45" s="38"/>
      <c r="C45" s="206">
        <v>1</v>
      </c>
      <c r="D45" s="206">
        <v>2</v>
      </c>
      <c r="E45" s="206">
        <v>3</v>
      </c>
      <c r="F45" s="206">
        <v>4</v>
      </c>
      <c r="G45" s="206">
        <v>5</v>
      </c>
      <c r="H45" s="206">
        <v>6</v>
      </c>
      <c r="I45" s="206">
        <v>7</v>
      </c>
      <c r="J45" s="206">
        <v>8</v>
      </c>
      <c r="K45" s="206">
        <v>9</v>
      </c>
      <c r="L45" s="206">
        <v>10</v>
      </c>
      <c r="M45" s="206">
        <v>11</v>
      </c>
      <c r="N45" s="206">
        <v>12</v>
      </c>
      <c r="O45" s="206">
        <v>13</v>
      </c>
      <c r="P45" s="206">
        <v>14</v>
      </c>
      <c r="Q45" s="206">
        <v>15</v>
      </c>
      <c r="R45" s="206">
        <v>16</v>
      </c>
      <c r="S45" s="206">
        <v>17</v>
      </c>
      <c r="T45" s="206">
        <v>18</v>
      </c>
      <c r="U45" s="206">
        <v>19</v>
      </c>
      <c r="V45" s="206">
        <v>20</v>
      </c>
      <c r="W45" s="66"/>
      <c r="X45" s="175"/>
    </row>
    <row r="46" spans="2:24" ht="18">
      <c r="B46" s="38" t="s">
        <v>106</v>
      </c>
      <c r="C46" s="168">
        <f>$C$3</f>
        <v>0</v>
      </c>
      <c r="D46" s="168">
        <f aca="true" t="shared" si="12" ref="D46:V46">IF(C46-C50&lt;0,0,C46-C50)</f>
        <v>0</v>
      </c>
      <c r="E46" s="168">
        <f t="shared" si="12"/>
        <v>0</v>
      </c>
      <c r="F46" s="168">
        <f t="shared" si="12"/>
        <v>0</v>
      </c>
      <c r="G46" s="168">
        <f t="shared" si="12"/>
        <v>0</v>
      </c>
      <c r="H46" s="168">
        <f t="shared" si="12"/>
        <v>0</v>
      </c>
      <c r="I46" s="168">
        <f t="shared" si="12"/>
        <v>0</v>
      </c>
      <c r="J46" s="168">
        <f t="shared" si="12"/>
        <v>0</v>
      </c>
      <c r="K46" s="168">
        <f t="shared" si="12"/>
        <v>0</v>
      </c>
      <c r="L46" s="168">
        <f t="shared" si="12"/>
        <v>0</v>
      </c>
      <c r="M46" s="168">
        <f t="shared" si="12"/>
        <v>0</v>
      </c>
      <c r="N46" s="168">
        <f t="shared" si="12"/>
        <v>0</v>
      </c>
      <c r="O46" s="168">
        <f t="shared" si="12"/>
        <v>0</v>
      </c>
      <c r="P46" s="168">
        <f t="shared" si="12"/>
        <v>0</v>
      </c>
      <c r="Q46" s="168">
        <f t="shared" si="12"/>
        <v>0</v>
      </c>
      <c r="R46" s="168">
        <f t="shared" si="12"/>
        <v>0</v>
      </c>
      <c r="S46" s="168">
        <f t="shared" si="12"/>
        <v>0</v>
      </c>
      <c r="T46" s="168">
        <f t="shared" si="12"/>
        <v>0</v>
      </c>
      <c r="U46" s="168">
        <f t="shared" si="12"/>
        <v>0</v>
      </c>
      <c r="V46" s="168">
        <f t="shared" si="12"/>
        <v>0</v>
      </c>
      <c r="W46" s="66"/>
      <c r="X46" s="175"/>
    </row>
    <row r="47" spans="2:24" ht="18">
      <c r="B47" s="38" t="s">
        <v>318</v>
      </c>
      <c r="C47" s="159">
        <f>C40+0.5</f>
        <v>0.618</v>
      </c>
      <c r="D47" s="159">
        <f aca="true" t="shared" si="13" ref="D47:V47">IF(OR(C47=$C$41,C47="－"),"－",IF(D46*$C$40&gt;$C$43,$C$40,$C$41))</f>
        <v>0.125</v>
      </c>
      <c r="E47" s="159" t="str">
        <f t="shared" si="13"/>
        <v>－</v>
      </c>
      <c r="F47" s="159" t="str">
        <f t="shared" si="13"/>
        <v>－</v>
      </c>
      <c r="G47" s="159" t="str">
        <f t="shared" si="13"/>
        <v>－</v>
      </c>
      <c r="H47" s="159" t="str">
        <f t="shared" si="13"/>
        <v>－</v>
      </c>
      <c r="I47" s="159" t="str">
        <f t="shared" si="13"/>
        <v>－</v>
      </c>
      <c r="J47" s="159" t="str">
        <f t="shared" si="13"/>
        <v>－</v>
      </c>
      <c r="K47" s="159" t="str">
        <f t="shared" si="13"/>
        <v>－</v>
      </c>
      <c r="L47" s="159" t="str">
        <f t="shared" si="13"/>
        <v>－</v>
      </c>
      <c r="M47" s="159" t="str">
        <f t="shared" si="13"/>
        <v>－</v>
      </c>
      <c r="N47" s="159" t="str">
        <f t="shared" si="13"/>
        <v>－</v>
      </c>
      <c r="O47" s="159" t="str">
        <f t="shared" si="13"/>
        <v>－</v>
      </c>
      <c r="P47" s="159" t="str">
        <f t="shared" si="13"/>
        <v>－</v>
      </c>
      <c r="Q47" s="159" t="str">
        <f t="shared" si="13"/>
        <v>－</v>
      </c>
      <c r="R47" s="159" t="str">
        <f t="shared" si="13"/>
        <v>－</v>
      </c>
      <c r="S47" s="159" t="str">
        <f t="shared" si="13"/>
        <v>－</v>
      </c>
      <c r="T47" s="159" t="str">
        <f t="shared" si="13"/>
        <v>－</v>
      </c>
      <c r="U47" s="159" t="str">
        <f t="shared" si="13"/>
        <v>－</v>
      </c>
      <c r="V47" s="159" t="str">
        <f t="shared" si="13"/>
        <v>－</v>
      </c>
      <c r="W47" s="66"/>
      <c r="X47" s="175"/>
    </row>
    <row r="48" spans="2:24" ht="18">
      <c r="B48" s="38" t="s">
        <v>193</v>
      </c>
      <c r="C48" s="168">
        <f>C46*C47</f>
        <v>0</v>
      </c>
      <c r="D48" s="209">
        <f aca="true" t="shared" si="14" ref="D48:V48">IF(AND(D45&lt;=$C$4,D45&lt;&gt;0),ROUNDDOWN(C49*$C$40,0),)</f>
        <v>0</v>
      </c>
      <c r="E48" s="209">
        <f t="shared" si="14"/>
        <v>0</v>
      </c>
      <c r="F48" s="209">
        <f t="shared" si="14"/>
        <v>0</v>
      </c>
      <c r="G48" s="209">
        <f t="shared" si="14"/>
        <v>0</v>
      </c>
      <c r="H48" s="209">
        <f t="shared" si="14"/>
        <v>0</v>
      </c>
      <c r="I48" s="209">
        <f t="shared" si="14"/>
        <v>0</v>
      </c>
      <c r="J48" s="209">
        <f t="shared" si="14"/>
        <v>0</v>
      </c>
      <c r="K48" s="209">
        <f t="shared" si="14"/>
        <v>0</v>
      </c>
      <c r="L48" s="209">
        <f t="shared" si="14"/>
        <v>0</v>
      </c>
      <c r="M48" s="209">
        <f t="shared" si="14"/>
        <v>0</v>
      </c>
      <c r="N48" s="209">
        <f t="shared" si="14"/>
        <v>0</v>
      </c>
      <c r="O48" s="209">
        <f t="shared" si="14"/>
        <v>0</v>
      </c>
      <c r="P48" s="209">
        <f t="shared" si="14"/>
        <v>0</v>
      </c>
      <c r="Q48" s="209">
        <f t="shared" si="14"/>
        <v>0</v>
      </c>
      <c r="R48" s="209">
        <f t="shared" si="14"/>
        <v>0</v>
      </c>
      <c r="S48" s="209">
        <f t="shared" si="14"/>
        <v>0</v>
      </c>
      <c r="T48" s="209">
        <f t="shared" si="14"/>
        <v>0</v>
      </c>
      <c r="U48" s="209">
        <f t="shared" si="14"/>
        <v>0</v>
      </c>
      <c r="V48" s="209">
        <f t="shared" si="14"/>
        <v>0</v>
      </c>
      <c r="W48" s="66"/>
      <c r="X48" s="175"/>
    </row>
    <row r="49" spans="2:24" ht="18">
      <c r="B49" s="38" t="s">
        <v>297</v>
      </c>
      <c r="C49" s="168">
        <f>C46-C48</f>
        <v>0</v>
      </c>
      <c r="D49" s="168">
        <f aca="true" t="shared" si="15" ref="D49:V49">IF(AND(D45&lt;=$C$4,D45&lt;&gt;0),IF(D46-D48&lt;0,0,D46-D48))</f>
        <v>0</v>
      </c>
      <c r="E49" s="168">
        <f t="shared" si="15"/>
        <v>0</v>
      </c>
      <c r="F49" s="168">
        <f t="shared" si="15"/>
        <v>0</v>
      </c>
      <c r="G49" s="168">
        <f t="shared" si="15"/>
        <v>0</v>
      </c>
      <c r="H49" s="168">
        <f t="shared" si="15"/>
        <v>0</v>
      </c>
      <c r="I49" s="168">
        <f t="shared" si="15"/>
        <v>0</v>
      </c>
      <c r="J49" s="168">
        <f t="shared" si="15"/>
        <v>0</v>
      </c>
      <c r="K49" s="168">
        <f t="shared" si="15"/>
        <v>0</v>
      </c>
      <c r="L49" s="168">
        <f t="shared" si="15"/>
        <v>0</v>
      </c>
      <c r="M49" s="168">
        <f t="shared" si="15"/>
        <v>0</v>
      </c>
      <c r="N49" s="168">
        <f t="shared" si="15"/>
        <v>0</v>
      </c>
      <c r="O49" s="168">
        <f t="shared" si="15"/>
        <v>0</v>
      </c>
      <c r="P49" s="168">
        <f t="shared" si="15"/>
        <v>0</v>
      </c>
      <c r="Q49" s="168">
        <f t="shared" si="15"/>
        <v>0</v>
      </c>
      <c r="R49" s="168">
        <f t="shared" si="15"/>
        <v>0</v>
      </c>
      <c r="S49" s="168">
        <f t="shared" si="15"/>
        <v>0</v>
      </c>
      <c r="T49" s="168" t="b">
        <f t="shared" si="15"/>
        <v>0</v>
      </c>
      <c r="U49" s="168" t="b">
        <f t="shared" si="15"/>
        <v>0</v>
      </c>
      <c r="V49" s="168" t="b">
        <f t="shared" si="15"/>
        <v>0</v>
      </c>
      <c r="W49" s="209"/>
      <c r="X49" s="175"/>
    </row>
    <row r="50" spans="2:24" ht="18">
      <c r="B50" s="38" t="s">
        <v>20</v>
      </c>
      <c r="C50" s="168">
        <f>C46*C47</f>
        <v>0</v>
      </c>
      <c r="D50" s="111">
        <f>IF(C51&lt;=1,0,IF(C50=C51,C50-1,IF(AND(D48&lt;$C$43,C48&lt;$C$43),C50,IF(D48&lt;$C$43,ROUNDDOWN(C$51*$C$41,0),ROUNDDOWN(C$51*$C$40,0)))))</f>
        <v>0</v>
      </c>
      <c r="E50" s="111">
        <f aca="true" t="shared" si="16" ref="E50:V50">IF(D51&lt;=1,0,IF(D51-D50&lt;10,D51-1,IF(D50=D51,D50-1,IF(AND(E48&lt;$C$43,D48&lt;$C$43),D50,IF(E48&lt;$C$43,ROUNDDOWN(D$51*$C$41,0),ROUNDDOWN(D$51*$C$40,0))))))</f>
        <v>0</v>
      </c>
      <c r="F50" s="111">
        <f t="shared" si="16"/>
        <v>0</v>
      </c>
      <c r="G50" s="111">
        <f t="shared" si="16"/>
        <v>0</v>
      </c>
      <c r="H50" s="111">
        <f t="shared" si="16"/>
        <v>0</v>
      </c>
      <c r="I50" s="111">
        <f t="shared" si="16"/>
        <v>0</v>
      </c>
      <c r="J50" s="111">
        <f t="shared" si="16"/>
        <v>0</v>
      </c>
      <c r="K50" s="111">
        <f t="shared" si="16"/>
        <v>0</v>
      </c>
      <c r="L50" s="111">
        <f t="shared" si="16"/>
        <v>0</v>
      </c>
      <c r="M50" s="111">
        <f t="shared" si="16"/>
        <v>0</v>
      </c>
      <c r="N50" s="111">
        <f t="shared" si="16"/>
        <v>0</v>
      </c>
      <c r="O50" s="111">
        <f t="shared" si="16"/>
        <v>0</v>
      </c>
      <c r="P50" s="111">
        <f t="shared" si="16"/>
        <v>0</v>
      </c>
      <c r="Q50" s="111">
        <f t="shared" si="16"/>
        <v>0</v>
      </c>
      <c r="R50" s="111">
        <f t="shared" si="16"/>
        <v>0</v>
      </c>
      <c r="S50" s="111">
        <f t="shared" si="16"/>
        <v>0</v>
      </c>
      <c r="T50" s="111">
        <f t="shared" si="16"/>
        <v>0</v>
      </c>
      <c r="U50" s="111">
        <f t="shared" si="16"/>
        <v>0</v>
      </c>
      <c r="V50" s="111">
        <f t="shared" si="16"/>
        <v>0</v>
      </c>
      <c r="W50" s="209">
        <f>SUM(C50:V50)</f>
        <v>0</v>
      </c>
      <c r="X50" s="106">
        <f>C3</f>
        <v>0</v>
      </c>
    </row>
    <row r="51" spans="2:24" ht="18" thickBot="1">
      <c r="B51" s="62" t="s">
        <v>301</v>
      </c>
      <c r="C51" s="125">
        <f>C46-C50</f>
        <v>0</v>
      </c>
      <c r="D51" s="125">
        <f aca="true" t="shared" si="17" ref="D51:V51">IF(D50&lt;=0,0,C51-D50)</f>
        <v>0</v>
      </c>
      <c r="E51" s="125">
        <f t="shared" si="17"/>
        <v>0</v>
      </c>
      <c r="F51" s="125">
        <f t="shared" si="17"/>
        <v>0</v>
      </c>
      <c r="G51" s="125">
        <f t="shared" si="17"/>
        <v>0</v>
      </c>
      <c r="H51" s="125">
        <f t="shared" si="17"/>
        <v>0</v>
      </c>
      <c r="I51" s="125">
        <f t="shared" si="17"/>
        <v>0</v>
      </c>
      <c r="J51" s="125">
        <f t="shared" si="17"/>
        <v>0</v>
      </c>
      <c r="K51" s="125">
        <f t="shared" si="17"/>
        <v>0</v>
      </c>
      <c r="L51" s="125">
        <f t="shared" si="17"/>
        <v>0</v>
      </c>
      <c r="M51" s="125">
        <f t="shared" si="17"/>
        <v>0</v>
      </c>
      <c r="N51" s="125">
        <f t="shared" si="17"/>
        <v>0</v>
      </c>
      <c r="O51" s="125">
        <f t="shared" si="17"/>
        <v>0</v>
      </c>
      <c r="P51" s="125">
        <f t="shared" si="17"/>
        <v>0</v>
      </c>
      <c r="Q51" s="125">
        <f t="shared" si="17"/>
        <v>0</v>
      </c>
      <c r="R51" s="125">
        <f t="shared" si="17"/>
        <v>0</v>
      </c>
      <c r="S51" s="125">
        <f t="shared" si="17"/>
        <v>0</v>
      </c>
      <c r="T51" s="125">
        <f t="shared" si="17"/>
        <v>0</v>
      </c>
      <c r="U51" s="125">
        <f t="shared" si="17"/>
        <v>0</v>
      </c>
      <c r="V51" s="125">
        <f t="shared" si="17"/>
        <v>0</v>
      </c>
      <c r="W51" s="30"/>
      <c r="X51" s="103"/>
    </row>
  </sheetData>
  <sheetProtection/>
  <printOptions horizontalCentered="1"/>
  <pageMargins left="0" right="0" top="0" bottom="0" header="0" footer="0"/>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dimension ref="A1:G107"/>
  <sheetViews>
    <sheetView zoomScalePageLayoutView="0" workbookViewId="0" topLeftCell="A1">
      <selection activeCell="A1" sqref="A1"/>
    </sheetView>
  </sheetViews>
  <sheetFormatPr defaultColWidth="9.421875" defaultRowHeight="12.75"/>
  <cols>
    <col min="1" max="5" width="18.421875" style="0" customWidth="1"/>
  </cols>
  <sheetData>
    <row r="1" spans="1:6" ht="15.75">
      <c r="A1" s="161" t="s">
        <v>231</v>
      </c>
      <c r="B1" s="4"/>
      <c r="C1" s="4"/>
      <c r="D1" s="4"/>
      <c r="E1" s="4"/>
      <c r="F1" s="4"/>
    </row>
    <row r="2" spans="1:6" ht="15.75">
      <c r="A2" t="s">
        <v>73</v>
      </c>
      <c r="B2" s="4"/>
      <c r="C2" s="4"/>
      <c r="D2" s="4"/>
      <c r="E2" s="4"/>
      <c r="F2" s="4"/>
    </row>
    <row r="3" spans="1:6" ht="15.75">
      <c r="A3" s="4"/>
      <c r="B3" s="4"/>
      <c r="C3" s="4"/>
      <c r="D3" s="4"/>
      <c r="E3" s="4"/>
      <c r="F3" s="4"/>
    </row>
    <row r="4" spans="1:6" ht="15.75">
      <c r="A4" s="183" t="s">
        <v>72</v>
      </c>
      <c r="B4" s="4"/>
      <c r="C4" s="4"/>
      <c r="D4" s="4"/>
      <c r="E4" s="4"/>
      <c r="F4" s="4"/>
    </row>
    <row r="5" spans="1:6" ht="15.75">
      <c r="A5" s="183" t="s">
        <v>51</v>
      </c>
      <c r="B5" s="4"/>
      <c r="C5" s="4"/>
      <c r="D5" s="4"/>
      <c r="E5" s="4"/>
      <c r="F5" s="4"/>
    </row>
    <row r="6" spans="1:6" ht="15.75">
      <c r="A6" s="4"/>
      <c r="B6" s="4"/>
      <c r="C6" s="4"/>
      <c r="D6" s="4"/>
      <c r="E6" s="4"/>
      <c r="F6" s="4"/>
    </row>
    <row r="7" spans="1:7" ht="15.75">
      <c r="A7" s="297" t="s">
        <v>229</v>
      </c>
      <c r="B7" s="299" t="s">
        <v>108</v>
      </c>
      <c r="C7" s="299" t="s">
        <v>121</v>
      </c>
      <c r="D7" s="299" t="s">
        <v>299</v>
      </c>
      <c r="E7" s="295" t="s">
        <v>305</v>
      </c>
      <c r="F7" s="4"/>
      <c r="G7" s="161"/>
    </row>
    <row r="8" spans="1:7" ht="15.75">
      <c r="A8" s="298"/>
      <c r="B8" s="300"/>
      <c r="C8" s="300"/>
      <c r="D8" s="300"/>
      <c r="E8" s="296"/>
      <c r="F8" s="4"/>
      <c r="G8" s="161"/>
    </row>
    <row r="9" spans="1:7" ht="15.75">
      <c r="A9" s="31">
        <v>2</v>
      </c>
      <c r="B9" s="157">
        <v>0.5</v>
      </c>
      <c r="C9" s="157">
        <v>1</v>
      </c>
      <c r="D9" s="157" t="s">
        <v>235</v>
      </c>
      <c r="E9" s="60" t="s">
        <v>235</v>
      </c>
      <c r="F9" s="4"/>
      <c r="G9" s="214"/>
    </row>
    <row r="10" spans="1:7" ht="15.75">
      <c r="A10" s="195">
        <v>3</v>
      </c>
      <c r="B10" s="24">
        <v>0.334</v>
      </c>
      <c r="C10" s="24">
        <v>0.667</v>
      </c>
      <c r="D10" s="24">
        <v>1</v>
      </c>
      <c r="E10" s="77">
        <v>0.11089</v>
      </c>
      <c r="F10" s="4"/>
      <c r="G10" s="214"/>
    </row>
    <row r="11" spans="1:7" ht="15.75">
      <c r="A11" s="195">
        <v>4</v>
      </c>
      <c r="B11" s="24">
        <v>0.25</v>
      </c>
      <c r="C11" s="24">
        <v>0.5</v>
      </c>
      <c r="D11" s="24">
        <v>1</v>
      </c>
      <c r="E11" s="77">
        <v>0.12499</v>
      </c>
      <c r="F11" s="4"/>
      <c r="G11" s="214"/>
    </row>
    <row r="12" spans="1:7" ht="15.75">
      <c r="A12" s="195">
        <v>5</v>
      </c>
      <c r="B12" s="24">
        <v>0.2</v>
      </c>
      <c r="C12" s="24">
        <v>0.4</v>
      </c>
      <c r="D12" s="24">
        <v>0.5</v>
      </c>
      <c r="E12" s="77">
        <v>0.108</v>
      </c>
      <c r="F12" s="4"/>
      <c r="G12" s="214"/>
    </row>
    <row r="13" spans="1:7" ht="15.75">
      <c r="A13" s="195">
        <v>6</v>
      </c>
      <c r="B13" s="24">
        <v>0.167</v>
      </c>
      <c r="C13" s="24">
        <v>0.333</v>
      </c>
      <c r="D13" s="24">
        <v>0.334</v>
      </c>
      <c r="E13" s="77">
        <v>0.09911</v>
      </c>
      <c r="F13" s="4"/>
      <c r="G13" s="214"/>
    </row>
    <row r="14" spans="1:7" ht="15.75">
      <c r="A14" s="195">
        <v>7</v>
      </c>
      <c r="B14" s="24">
        <v>0.143</v>
      </c>
      <c r="C14" s="24">
        <v>0.286</v>
      </c>
      <c r="D14" s="24">
        <v>0.334</v>
      </c>
      <c r="E14" s="77">
        <v>0.0868</v>
      </c>
      <c r="F14" s="4"/>
      <c r="G14" s="214"/>
    </row>
    <row r="15" spans="1:7" ht="15.75">
      <c r="A15" s="195">
        <v>8</v>
      </c>
      <c r="B15" s="24">
        <v>0.125</v>
      </c>
      <c r="C15" s="24">
        <v>0.25</v>
      </c>
      <c r="D15" s="24">
        <v>0.334</v>
      </c>
      <c r="E15" s="77">
        <v>0.07909</v>
      </c>
      <c r="F15" s="4"/>
      <c r="G15" s="214"/>
    </row>
    <row r="16" spans="1:7" ht="15.75">
      <c r="A16" s="195">
        <v>9</v>
      </c>
      <c r="B16" s="24">
        <v>0.112</v>
      </c>
      <c r="C16" s="24">
        <v>0.222</v>
      </c>
      <c r="D16" s="24">
        <v>0.25</v>
      </c>
      <c r="E16" s="77">
        <v>0.07126</v>
      </c>
      <c r="F16" s="4"/>
      <c r="G16" s="214"/>
    </row>
    <row r="17" spans="1:7" ht="15.75">
      <c r="A17" s="195">
        <v>10</v>
      </c>
      <c r="B17" s="24">
        <v>0.1</v>
      </c>
      <c r="C17" s="24">
        <v>0.2</v>
      </c>
      <c r="D17" s="24">
        <v>0.25</v>
      </c>
      <c r="E17" s="77">
        <v>0.06552</v>
      </c>
      <c r="F17" s="4"/>
      <c r="G17" s="214"/>
    </row>
    <row r="18" spans="1:7" ht="15.75">
      <c r="A18" s="195">
        <v>11</v>
      </c>
      <c r="B18" s="24">
        <v>0.091</v>
      </c>
      <c r="C18" s="24">
        <v>0.182</v>
      </c>
      <c r="D18" s="24">
        <v>0.2</v>
      </c>
      <c r="E18" s="77">
        <v>0.05992</v>
      </c>
      <c r="F18" s="4"/>
      <c r="G18" s="214"/>
    </row>
    <row r="19" spans="1:7" ht="15.75">
      <c r="A19" s="195">
        <v>12</v>
      </c>
      <c r="B19" s="24">
        <v>0.084</v>
      </c>
      <c r="C19" s="24">
        <v>0.167</v>
      </c>
      <c r="D19" s="24">
        <v>0.2</v>
      </c>
      <c r="E19" s="77">
        <v>0.05566</v>
      </c>
      <c r="F19" s="4"/>
      <c r="G19" s="214"/>
    </row>
    <row r="20" spans="1:7" ht="15.75">
      <c r="A20" s="195">
        <v>13</v>
      </c>
      <c r="B20" s="24">
        <v>0.077</v>
      </c>
      <c r="C20" s="24">
        <v>0.154</v>
      </c>
      <c r="D20" s="24">
        <v>0.167</v>
      </c>
      <c r="E20" s="77">
        <v>0.0518</v>
      </c>
      <c r="F20" s="4"/>
      <c r="G20" s="214"/>
    </row>
    <row r="21" spans="1:7" ht="15.75">
      <c r="A21" s="195">
        <v>14</v>
      </c>
      <c r="B21" s="24">
        <v>0.072</v>
      </c>
      <c r="C21" s="24">
        <v>0.143</v>
      </c>
      <c r="D21" s="24">
        <v>0.167</v>
      </c>
      <c r="E21" s="77">
        <v>0.04854</v>
      </c>
      <c r="F21" s="4"/>
      <c r="G21" s="214"/>
    </row>
    <row r="22" spans="1:7" ht="15.75">
      <c r="A22" s="195">
        <v>15</v>
      </c>
      <c r="B22" s="24">
        <v>0.067</v>
      </c>
      <c r="C22" s="24">
        <v>0.133</v>
      </c>
      <c r="D22" s="24">
        <v>0.143</v>
      </c>
      <c r="E22" s="77">
        <v>0.04565</v>
      </c>
      <c r="F22" s="4"/>
      <c r="G22" s="214"/>
    </row>
    <row r="23" spans="1:7" ht="15.75">
      <c r="A23" s="195">
        <v>16</v>
      </c>
      <c r="B23" s="24">
        <v>0.063</v>
      </c>
      <c r="C23" s="24">
        <v>0.125</v>
      </c>
      <c r="D23" s="24">
        <v>0.143</v>
      </c>
      <c r="E23" s="77">
        <v>0.04294</v>
      </c>
      <c r="F23" s="4"/>
      <c r="G23" s="214"/>
    </row>
    <row r="24" spans="1:7" ht="15.75">
      <c r="A24" s="195">
        <v>17</v>
      </c>
      <c r="B24" s="24">
        <v>0.059</v>
      </c>
      <c r="C24" s="24">
        <v>0.118</v>
      </c>
      <c r="D24" s="24">
        <v>0.125</v>
      </c>
      <c r="E24" s="77">
        <v>0.04038</v>
      </c>
      <c r="F24" s="4"/>
      <c r="G24" s="214"/>
    </row>
    <row r="25" spans="1:7" ht="15.75">
      <c r="A25" s="195">
        <v>18</v>
      </c>
      <c r="B25" s="24">
        <v>0.056</v>
      </c>
      <c r="C25" s="24">
        <v>0.111</v>
      </c>
      <c r="D25" s="24">
        <v>0.112</v>
      </c>
      <c r="E25" s="77">
        <v>0.03884</v>
      </c>
      <c r="F25" s="4"/>
      <c r="G25" s="214"/>
    </row>
    <row r="26" spans="1:7" ht="15.75">
      <c r="A26" s="195">
        <v>19</v>
      </c>
      <c r="B26" s="24">
        <v>0.053</v>
      </c>
      <c r="C26" s="24">
        <v>0.105</v>
      </c>
      <c r="D26" s="24">
        <v>0.112</v>
      </c>
      <c r="E26" s="77">
        <v>0.03693</v>
      </c>
      <c r="F26" s="4"/>
      <c r="G26" s="214"/>
    </row>
    <row r="27" spans="1:7" ht="15.75">
      <c r="A27" s="195">
        <v>20</v>
      </c>
      <c r="B27" s="24">
        <v>0.05</v>
      </c>
      <c r="C27" s="24">
        <v>0.1</v>
      </c>
      <c r="D27" s="24">
        <v>0.112</v>
      </c>
      <c r="E27" s="77">
        <v>0.03486</v>
      </c>
      <c r="F27" s="4"/>
      <c r="G27" s="214"/>
    </row>
    <row r="28" spans="1:7" ht="15.75">
      <c r="A28" s="195">
        <v>21</v>
      </c>
      <c r="B28" s="24">
        <v>0.048</v>
      </c>
      <c r="C28" s="24">
        <v>0.095</v>
      </c>
      <c r="D28" s="24">
        <v>0.1</v>
      </c>
      <c r="E28" s="77">
        <v>0.03335</v>
      </c>
      <c r="F28" s="4"/>
      <c r="G28" s="214"/>
    </row>
    <row r="29" spans="1:7" ht="15.75">
      <c r="A29" s="195">
        <v>22</v>
      </c>
      <c r="B29" s="24">
        <v>0.046</v>
      </c>
      <c r="C29" s="24">
        <v>0.091</v>
      </c>
      <c r="D29" s="24">
        <v>0.1</v>
      </c>
      <c r="E29" s="77">
        <v>0.03182</v>
      </c>
      <c r="F29" s="4"/>
      <c r="G29" s="214"/>
    </row>
    <row r="30" spans="1:7" ht="15.75">
      <c r="A30" s="195">
        <v>23</v>
      </c>
      <c r="B30" s="24">
        <v>0.044</v>
      </c>
      <c r="C30" s="24">
        <v>0.087</v>
      </c>
      <c r="D30" s="24">
        <v>0.091</v>
      </c>
      <c r="E30" s="77">
        <v>0.03052</v>
      </c>
      <c r="F30" s="4"/>
      <c r="G30" s="214"/>
    </row>
    <row r="31" spans="1:7" ht="15.75">
      <c r="A31" s="195">
        <v>24</v>
      </c>
      <c r="B31" s="24">
        <v>0.042</v>
      </c>
      <c r="C31" s="24">
        <v>0.083</v>
      </c>
      <c r="D31" s="24">
        <v>0.084</v>
      </c>
      <c r="E31" s="77">
        <v>0.02969</v>
      </c>
      <c r="F31" s="4"/>
      <c r="G31" s="214"/>
    </row>
    <row r="32" spans="1:7" ht="15.75">
      <c r="A32" s="195">
        <v>25</v>
      </c>
      <c r="B32" s="24">
        <v>0.04</v>
      </c>
      <c r="C32" s="24">
        <v>0.08</v>
      </c>
      <c r="D32" s="24">
        <v>0.084</v>
      </c>
      <c r="E32" s="77">
        <v>0.02841</v>
      </c>
      <c r="F32" s="4"/>
      <c r="G32" s="214"/>
    </row>
    <row r="33" spans="1:7" ht="15.75">
      <c r="A33" s="195">
        <v>26</v>
      </c>
      <c r="B33" s="24">
        <v>0.039</v>
      </c>
      <c r="C33" s="24">
        <v>0.077</v>
      </c>
      <c r="D33" s="24">
        <v>0.084</v>
      </c>
      <c r="E33" s="77">
        <v>0.02716</v>
      </c>
      <c r="F33" s="4"/>
      <c r="G33" s="214"/>
    </row>
    <row r="34" spans="1:7" ht="15.75">
      <c r="A34" s="195">
        <v>27</v>
      </c>
      <c r="B34" s="24">
        <v>0.038</v>
      </c>
      <c r="C34" s="24">
        <v>0.074</v>
      </c>
      <c r="D34" s="24">
        <v>0.077</v>
      </c>
      <c r="E34" s="77">
        <v>0.02624</v>
      </c>
      <c r="F34" s="4"/>
      <c r="G34" s="214"/>
    </row>
    <row r="35" spans="1:7" ht="15.75">
      <c r="A35" s="195">
        <v>28</v>
      </c>
      <c r="B35" s="24">
        <v>0.036</v>
      </c>
      <c r="C35" s="24">
        <v>0.071</v>
      </c>
      <c r="D35" s="24">
        <v>0.072</v>
      </c>
      <c r="E35" s="77">
        <v>0.02568</v>
      </c>
      <c r="F35" s="4"/>
      <c r="G35" s="214"/>
    </row>
    <row r="36" spans="1:7" ht="15.75">
      <c r="A36" s="195">
        <v>29</v>
      </c>
      <c r="B36" s="24">
        <v>0.035</v>
      </c>
      <c r="C36" s="24">
        <v>0.069</v>
      </c>
      <c r="D36" s="24">
        <v>0.072</v>
      </c>
      <c r="E36" s="77">
        <v>0.02463</v>
      </c>
      <c r="F36" s="4"/>
      <c r="G36" s="214"/>
    </row>
    <row r="37" spans="1:7" ht="15.75">
      <c r="A37" s="195">
        <v>30</v>
      </c>
      <c r="B37" s="24">
        <v>0.034</v>
      </c>
      <c r="C37" s="24">
        <v>0.067</v>
      </c>
      <c r="D37" s="24">
        <v>0.072</v>
      </c>
      <c r="E37" s="77">
        <v>0.02366</v>
      </c>
      <c r="F37" s="4"/>
      <c r="G37" s="214"/>
    </row>
    <row r="38" spans="1:7" ht="15.75">
      <c r="A38" s="195">
        <v>31</v>
      </c>
      <c r="B38" s="24">
        <v>0.033</v>
      </c>
      <c r="C38" s="24">
        <v>0.065</v>
      </c>
      <c r="D38" s="24">
        <v>0.067</v>
      </c>
      <c r="E38" s="77">
        <v>0.02286</v>
      </c>
      <c r="F38" s="4"/>
      <c r="G38" s="214"/>
    </row>
    <row r="39" spans="1:7" ht="15.75">
      <c r="A39" s="195">
        <v>32</v>
      </c>
      <c r="B39" s="24">
        <v>0.032</v>
      </c>
      <c r="C39" s="24">
        <v>0.063</v>
      </c>
      <c r="D39" s="24">
        <v>0.067</v>
      </c>
      <c r="E39" s="77">
        <v>0.02216</v>
      </c>
      <c r="F39" s="4"/>
      <c r="G39" s="214"/>
    </row>
    <row r="40" spans="1:7" ht="15.75">
      <c r="A40" s="195">
        <v>33</v>
      </c>
      <c r="B40" s="24">
        <v>0.031</v>
      </c>
      <c r="C40" s="24">
        <v>0.061</v>
      </c>
      <c r="D40" s="24">
        <v>0.063</v>
      </c>
      <c r="E40" s="77">
        <v>0.02161</v>
      </c>
      <c r="F40" s="4"/>
      <c r="G40" s="214"/>
    </row>
    <row r="41" spans="1:7" ht="15.75">
      <c r="A41" s="195">
        <v>34</v>
      </c>
      <c r="B41" s="24">
        <v>0.03</v>
      </c>
      <c r="C41" s="24">
        <v>0.059</v>
      </c>
      <c r="D41" s="24">
        <v>0.063</v>
      </c>
      <c r="E41" s="77">
        <v>0.02097</v>
      </c>
      <c r="F41" s="4"/>
      <c r="G41" s="214"/>
    </row>
    <row r="42" spans="1:7" ht="15.75">
      <c r="A42" s="195">
        <v>35</v>
      </c>
      <c r="B42" s="24">
        <v>0.029</v>
      </c>
      <c r="C42" s="24">
        <v>0.057</v>
      </c>
      <c r="D42" s="24">
        <v>0.059</v>
      </c>
      <c r="E42" s="77">
        <v>0.02051</v>
      </c>
      <c r="F42" s="4"/>
      <c r="G42" s="214"/>
    </row>
    <row r="43" spans="1:7" ht="15.75">
      <c r="A43" s="195">
        <v>36</v>
      </c>
      <c r="B43" s="24">
        <v>0.028</v>
      </c>
      <c r="C43" s="24">
        <v>0.056</v>
      </c>
      <c r="D43" s="24">
        <v>0.059</v>
      </c>
      <c r="E43" s="77">
        <v>0.01974</v>
      </c>
      <c r="F43" s="4"/>
      <c r="G43" s="214"/>
    </row>
    <row r="44" spans="1:7" ht="15.75">
      <c r="A44" s="195">
        <v>37</v>
      </c>
      <c r="B44" s="24">
        <v>0.028</v>
      </c>
      <c r="C44" s="24">
        <v>0.054</v>
      </c>
      <c r="D44" s="24">
        <v>0.056</v>
      </c>
      <c r="E44" s="77">
        <v>0.0195</v>
      </c>
      <c r="F44" s="4"/>
      <c r="G44" s="214"/>
    </row>
    <row r="45" spans="1:7" ht="15.75">
      <c r="A45" s="195">
        <v>38</v>
      </c>
      <c r="B45" s="24">
        <v>0.027</v>
      </c>
      <c r="C45" s="24">
        <v>0.053</v>
      </c>
      <c r="D45" s="24">
        <v>0.056</v>
      </c>
      <c r="E45" s="77">
        <v>0.01882</v>
      </c>
      <c r="F45" s="4"/>
      <c r="G45" s="214"/>
    </row>
    <row r="46" spans="1:7" ht="15.75">
      <c r="A46" s="195">
        <v>39</v>
      </c>
      <c r="B46" s="24">
        <v>0.026</v>
      </c>
      <c r="C46" s="24">
        <v>0.051</v>
      </c>
      <c r="D46" s="24">
        <v>0.053</v>
      </c>
      <c r="E46" s="77">
        <v>0.0186</v>
      </c>
      <c r="F46" s="4"/>
      <c r="G46" s="214"/>
    </row>
    <row r="47" spans="1:7" ht="15.75">
      <c r="A47" s="195">
        <v>40</v>
      </c>
      <c r="B47" s="24">
        <v>0.025</v>
      </c>
      <c r="C47" s="24">
        <v>0.05</v>
      </c>
      <c r="D47" s="24">
        <v>0.053</v>
      </c>
      <c r="E47" s="77">
        <v>0.01791</v>
      </c>
      <c r="F47" s="4"/>
      <c r="G47" s="214"/>
    </row>
    <row r="48" spans="1:7" ht="15.75">
      <c r="A48" s="195">
        <v>41</v>
      </c>
      <c r="B48" s="24">
        <v>0.025</v>
      </c>
      <c r="C48" s="24">
        <v>0.049</v>
      </c>
      <c r="D48" s="24">
        <v>0.05</v>
      </c>
      <c r="E48" s="77">
        <v>0.01741</v>
      </c>
      <c r="F48" s="4"/>
      <c r="G48" s="214"/>
    </row>
    <row r="49" spans="1:7" ht="15.75">
      <c r="A49" s="195">
        <v>42</v>
      </c>
      <c r="B49" s="24">
        <v>0.024</v>
      </c>
      <c r="C49" s="24">
        <v>0.048</v>
      </c>
      <c r="D49" s="24">
        <v>0.05</v>
      </c>
      <c r="E49" s="77">
        <v>0.01694</v>
      </c>
      <c r="F49" s="4"/>
      <c r="G49" s="214"/>
    </row>
    <row r="50" spans="1:7" ht="15.75">
      <c r="A50" s="195">
        <v>43</v>
      </c>
      <c r="B50" s="24">
        <v>0.024</v>
      </c>
      <c r="C50" s="24">
        <v>0.047</v>
      </c>
      <c r="D50" s="24">
        <v>0.048</v>
      </c>
      <c r="E50" s="77">
        <v>0.01664</v>
      </c>
      <c r="F50" s="4"/>
      <c r="G50" s="214"/>
    </row>
    <row r="51" spans="1:7" ht="15.75">
      <c r="A51" s="195">
        <v>44</v>
      </c>
      <c r="B51" s="24">
        <v>0.023</v>
      </c>
      <c r="C51" s="24">
        <v>0.045</v>
      </c>
      <c r="D51" s="24">
        <v>0.046</v>
      </c>
      <c r="E51" s="77">
        <v>0.01664</v>
      </c>
      <c r="F51" s="4"/>
      <c r="G51" s="214"/>
    </row>
    <row r="52" spans="1:7" ht="15.75">
      <c r="A52" s="195">
        <v>45</v>
      </c>
      <c r="B52" s="24">
        <v>0.023</v>
      </c>
      <c r="C52" s="24">
        <v>0.044</v>
      </c>
      <c r="D52" s="24">
        <v>0.046</v>
      </c>
      <c r="E52" s="77">
        <v>0.01634</v>
      </c>
      <c r="F52" s="4"/>
      <c r="G52" s="214"/>
    </row>
    <row r="53" spans="1:7" ht="15.75">
      <c r="A53" s="195">
        <v>46</v>
      </c>
      <c r="B53" s="24">
        <v>0.022</v>
      </c>
      <c r="C53" s="24">
        <v>0.043</v>
      </c>
      <c r="D53" s="24">
        <v>0.044</v>
      </c>
      <c r="E53" s="77">
        <v>0.01601</v>
      </c>
      <c r="F53" s="4"/>
      <c r="G53" s="214"/>
    </row>
    <row r="54" spans="1:7" ht="15.75">
      <c r="A54" s="195">
        <v>47</v>
      </c>
      <c r="B54" s="24">
        <v>0.022</v>
      </c>
      <c r="C54" s="24">
        <v>0.043</v>
      </c>
      <c r="D54" s="24">
        <v>0.044</v>
      </c>
      <c r="E54" s="77">
        <v>0.01532</v>
      </c>
      <c r="F54" s="4"/>
      <c r="G54" s="214"/>
    </row>
    <row r="55" spans="1:7" ht="15.75">
      <c r="A55" s="195">
        <v>48</v>
      </c>
      <c r="B55" s="24">
        <v>0.021</v>
      </c>
      <c r="C55" s="24">
        <v>0.042</v>
      </c>
      <c r="D55" s="24">
        <v>0.044</v>
      </c>
      <c r="E55" s="77">
        <v>0.01499</v>
      </c>
      <c r="F55" s="4"/>
      <c r="G55" s="214"/>
    </row>
    <row r="56" spans="1:7" ht="15.75">
      <c r="A56" s="195">
        <v>49</v>
      </c>
      <c r="B56" s="24">
        <v>0.021</v>
      </c>
      <c r="C56" s="24">
        <v>0.041</v>
      </c>
      <c r="D56" s="24">
        <v>0.042</v>
      </c>
      <c r="E56" s="77">
        <v>0.01475</v>
      </c>
      <c r="F56" s="4"/>
      <c r="G56" s="214"/>
    </row>
    <row r="57" spans="1:7" ht="15.75">
      <c r="A57" s="195">
        <v>50</v>
      </c>
      <c r="B57" s="24">
        <v>0.02</v>
      </c>
      <c r="C57" s="24">
        <v>0.04</v>
      </c>
      <c r="D57" s="24">
        <v>0.042</v>
      </c>
      <c r="E57" s="77">
        <v>0.0144</v>
      </c>
      <c r="F57" s="4"/>
      <c r="G57" s="214"/>
    </row>
    <row r="58" spans="1:7" ht="15.75">
      <c r="A58" s="195">
        <v>51</v>
      </c>
      <c r="B58" s="24">
        <v>0.02</v>
      </c>
      <c r="C58" s="24">
        <v>0.039</v>
      </c>
      <c r="D58" s="24">
        <v>0.04</v>
      </c>
      <c r="E58" s="77">
        <v>0.01422</v>
      </c>
      <c r="F58" s="4"/>
      <c r="G58" s="214"/>
    </row>
    <row r="59" spans="1:7" ht="15.75">
      <c r="A59" s="195">
        <v>52</v>
      </c>
      <c r="B59" s="24">
        <v>0.02</v>
      </c>
      <c r="C59" s="24">
        <v>0.038</v>
      </c>
      <c r="D59" s="24">
        <v>0.039</v>
      </c>
      <c r="E59" s="77">
        <v>0.01422</v>
      </c>
      <c r="F59" s="4"/>
      <c r="G59" s="214"/>
    </row>
    <row r="60" spans="1:7" ht="15.75">
      <c r="A60" s="195">
        <v>53</v>
      </c>
      <c r="B60" s="24">
        <v>0.019</v>
      </c>
      <c r="C60" s="24">
        <v>0.038</v>
      </c>
      <c r="D60" s="24">
        <v>0.039</v>
      </c>
      <c r="E60" s="77">
        <v>0.0137</v>
      </c>
      <c r="F60" s="4"/>
      <c r="G60" s="214"/>
    </row>
    <row r="61" spans="1:7" ht="15.75">
      <c r="A61" s="195">
        <v>54</v>
      </c>
      <c r="B61" s="24">
        <v>0.019</v>
      </c>
      <c r="C61" s="24">
        <v>0.037</v>
      </c>
      <c r="D61" s="24">
        <v>0.038</v>
      </c>
      <c r="E61" s="77">
        <v>0.0137</v>
      </c>
      <c r="F61" s="4"/>
      <c r="G61" s="214"/>
    </row>
    <row r="62" spans="1:7" ht="15.75">
      <c r="A62" s="195">
        <v>55</v>
      </c>
      <c r="B62" s="24">
        <v>0.019</v>
      </c>
      <c r="C62" s="24">
        <v>0.036</v>
      </c>
      <c r="D62" s="24">
        <v>0.038</v>
      </c>
      <c r="E62" s="77">
        <v>0.01337</v>
      </c>
      <c r="F62" s="4"/>
      <c r="G62" s="214"/>
    </row>
    <row r="63" spans="1:7" ht="15.75">
      <c r="A63" s="195">
        <v>56</v>
      </c>
      <c r="B63" s="24">
        <v>0.018</v>
      </c>
      <c r="C63" s="24">
        <v>0.036</v>
      </c>
      <c r="D63" s="24">
        <v>0.038</v>
      </c>
      <c r="E63" s="77">
        <v>0.01288</v>
      </c>
      <c r="F63" s="4"/>
      <c r="G63" s="214"/>
    </row>
    <row r="64" spans="1:7" ht="15.75">
      <c r="A64" s="195">
        <v>57</v>
      </c>
      <c r="B64" s="24">
        <v>0.018</v>
      </c>
      <c r="C64" s="24">
        <v>0.035</v>
      </c>
      <c r="D64" s="24">
        <v>0.036</v>
      </c>
      <c r="E64" s="77">
        <v>0.01281</v>
      </c>
      <c r="F64" s="4"/>
      <c r="G64" s="214"/>
    </row>
    <row r="65" spans="1:7" ht="15.75">
      <c r="A65" s="195">
        <v>58</v>
      </c>
      <c r="B65" s="24">
        <v>0.018</v>
      </c>
      <c r="C65" s="24">
        <v>0.034</v>
      </c>
      <c r="D65" s="24">
        <v>0.035</v>
      </c>
      <c r="E65" s="77">
        <v>0.01281</v>
      </c>
      <c r="F65" s="4"/>
      <c r="G65" s="214"/>
    </row>
    <row r="66" spans="1:7" ht="15.75">
      <c r="A66" s="195">
        <v>59</v>
      </c>
      <c r="B66" s="24">
        <v>0.017</v>
      </c>
      <c r="C66" s="24">
        <v>0.034</v>
      </c>
      <c r="D66" s="24">
        <v>0.035</v>
      </c>
      <c r="E66" s="77">
        <v>0.0124</v>
      </c>
      <c r="F66" s="4"/>
      <c r="G66" s="214"/>
    </row>
    <row r="67" spans="1:7" ht="15.75">
      <c r="A67" s="195">
        <v>60</v>
      </c>
      <c r="B67" s="24">
        <v>0.017</v>
      </c>
      <c r="C67" s="24">
        <v>0.033</v>
      </c>
      <c r="D67" s="24">
        <v>0.034</v>
      </c>
      <c r="E67" s="77">
        <v>0.0124</v>
      </c>
      <c r="F67" s="4"/>
      <c r="G67" s="214"/>
    </row>
    <row r="68" spans="1:7" ht="15.75">
      <c r="A68" s="195">
        <v>61</v>
      </c>
      <c r="B68" s="24">
        <v>0.017</v>
      </c>
      <c r="C68" s="24">
        <v>0.033</v>
      </c>
      <c r="D68" s="24">
        <v>0.034</v>
      </c>
      <c r="E68" s="77">
        <v>0.01201</v>
      </c>
      <c r="F68" s="4"/>
      <c r="G68" s="214"/>
    </row>
    <row r="69" spans="1:7" ht="15.75">
      <c r="A69" s="195">
        <v>62</v>
      </c>
      <c r="B69" s="24">
        <v>0.017</v>
      </c>
      <c r="C69" s="24">
        <v>0.032</v>
      </c>
      <c r="D69" s="24">
        <v>0.033</v>
      </c>
      <c r="E69" s="77">
        <v>0.01201</v>
      </c>
      <c r="F69" s="4"/>
      <c r="G69" s="214"/>
    </row>
    <row r="70" spans="1:7" ht="15.75">
      <c r="A70" s="195">
        <v>63</v>
      </c>
      <c r="B70" s="24">
        <v>0.016</v>
      </c>
      <c r="C70" s="24">
        <v>0.032</v>
      </c>
      <c r="D70" s="24">
        <v>0.033</v>
      </c>
      <c r="E70" s="77">
        <v>0.01165</v>
      </c>
      <c r="F70" s="4"/>
      <c r="G70" s="214"/>
    </row>
    <row r="71" spans="1:7" ht="15.75">
      <c r="A71" s="195">
        <v>64</v>
      </c>
      <c r="B71" s="24">
        <v>0.016</v>
      </c>
      <c r="C71" s="24">
        <v>0.031</v>
      </c>
      <c r="D71" s="24">
        <v>0.032</v>
      </c>
      <c r="E71" s="77">
        <v>0.01165</v>
      </c>
      <c r="F71" s="4"/>
      <c r="G71" s="214"/>
    </row>
    <row r="72" spans="1:7" ht="15.75">
      <c r="A72" s="195">
        <v>65</v>
      </c>
      <c r="B72" s="24">
        <v>0.016</v>
      </c>
      <c r="C72" s="24">
        <v>0.031</v>
      </c>
      <c r="D72" s="24">
        <v>0.032</v>
      </c>
      <c r="E72" s="77">
        <v>0.0113</v>
      </c>
      <c r="F72" s="4"/>
      <c r="G72" s="214"/>
    </row>
    <row r="73" spans="1:7" ht="15.75">
      <c r="A73" s="195">
        <v>66</v>
      </c>
      <c r="B73" s="24">
        <v>0.016</v>
      </c>
      <c r="C73" s="24">
        <v>0.03</v>
      </c>
      <c r="D73" s="24">
        <v>0.031</v>
      </c>
      <c r="E73" s="77">
        <v>0.0113</v>
      </c>
      <c r="F73" s="4"/>
      <c r="G73" s="214"/>
    </row>
    <row r="74" spans="1:7" ht="15.75">
      <c r="A74" s="195">
        <v>67</v>
      </c>
      <c r="B74" s="24">
        <v>0.015</v>
      </c>
      <c r="C74" s="24">
        <v>0.03</v>
      </c>
      <c r="D74" s="24">
        <v>0.031</v>
      </c>
      <c r="E74" s="77">
        <v>0.01097</v>
      </c>
      <c r="F74" s="4"/>
      <c r="G74" s="214"/>
    </row>
    <row r="75" spans="1:7" ht="15.75">
      <c r="A75" s="195">
        <v>68</v>
      </c>
      <c r="B75" s="24">
        <v>0.015</v>
      </c>
      <c r="C75" s="24">
        <v>0.029</v>
      </c>
      <c r="D75" s="24">
        <v>0.03</v>
      </c>
      <c r="E75" s="77">
        <v>0.01097</v>
      </c>
      <c r="F75" s="4"/>
      <c r="G75" s="214"/>
    </row>
    <row r="76" spans="1:7" ht="15.75">
      <c r="A76" s="195">
        <v>69</v>
      </c>
      <c r="B76" s="24">
        <v>0.015</v>
      </c>
      <c r="C76" s="24">
        <v>0.029</v>
      </c>
      <c r="D76" s="24">
        <v>0.03</v>
      </c>
      <c r="E76" s="77">
        <v>0.01065</v>
      </c>
      <c r="F76" s="4"/>
      <c r="G76" s="214"/>
    </row>
    <row r="77" spans="1:7" ht="15.75">
      <c r="A77" s="195">
        <v>70</v>
      </c>
      <c r="B77" s="24">
        <v>0.015</v>
      </c>
      <c r="C77" s="24">
        <v>0.029</v>
      </c>
      <c r="D77" s="24">
        <v>0.03</v>
      </c>
      <c r="E77" s="77">
        <v>0.01034</v>
      </c>
      <c r="F77" s="4"/>
      <c r="G77" s="214"/>
    </row>
    <row r="78" spans="1:7" ht="15.75">
      <c r="A78" s="195">
        <v>71</v>
      </c>
      <c r="B78" s="24">
        <v>0.015</v>
      </c>
      <c r="C78" s="24">
        <v>0.028</v>
      </c>
      <c r="D78" s="24">
        <v>0.029</v>
      </c>
      <c r="E78" s="77">
        <v>0.01034</v>
      </c>
      <c r="F78" s="4"/>
      <c r="G78" s="214"/>
    </row>
    <row r="79" spans="1:7" ht="15.75">
      <c r="A79" s="195">
        <v>72</v>
      </c>
      <c r="B79" s="24">
        <v>0.014</v>
      </c>
      <c r="C79" s="24">
        <v>0.028</v>
      </c>
      <c r="D79" s="24">
        <v>0.029</v>
      </c>
      <c r="E79" s="77">
        <v>0.01006</v>
      </c>
      <c r="F79" s="4"/>
      <c r="G79" s="214"/>
    </row>
    <row r="80" spans="1:7" ht="15.75">
      <c r="A80" s="195">
        <v>73</v>
      </c>
      <c r="B80" s="24">
        <v>0.014</v>
      </c>
      <c r="C80" s="24">
        <v>0.027</v>
      </c>
      <c r="D80" s="24">
        <v>0.027</v>
      </c>
      <c r="E80" s="77">
        <v>0.01063</v>
      </c>
      <c r="F80" s="4"/>
      <c r="G80" s="214"/>
    </row>
    <row r="81" spans="1:7" ht="15.75">
      <c r="A81" s="195">
        <v>74</v>
      </c>
      <c r="B81" s="24">
        <v>0.014</v>
      </c>
      <c r="C81" s="24">
        <v>0.027</v>
      </c>
      <c r="D81" s="24">
        <v>0.027</v>
      </c>
      <c r="E81" s="77">
        <v>0.01035</v>
      </c>
      <c r="F81" s="4"/>
      <c r="G81" s="214"/>
    </row>
    <row r="82" spans="1:7" ht="15.75">
      <c r="A82" s="195">
        <v>75</v>
      </c>
      <c r="B82" s="24">
        <v>0.014</v>
      </c>
      <c r="C82" s="24">
        <v>0.027</v>
      </c>
      <c r="D82" s="24">
        <v>0.027</v>
      </c>
      <c r="E82" s="77">
        <v>0.01007</v>
      </c>
      <c r="F82" s="4"/>
      <c r="G82" s="214"/>
    </row>
    <row r="83" spans="1:7" ht="15.75">
      <c r="A83" s="195">
        <v>76</v>
      </c>
      <c r="B83" s="24">
        <v>0.014</v>
      </c>
      <c r="C83" s="24">
        <v>0.026</v>
      </c>
      <c r="D83" s="24">
        <v>0.027</v>
      </c>
      <c r="E83" s="77">
        <v>0.0098</v>
      </c>
      <c r="F83" s="4"/>
      <c r="G83" s="214"/>
    </row>
    <row r="84" spans="1:7" ht="15.75">
      <c r="A84" s="195">
        <v>77</v>
      </c>
      <c r="B84" s="24">
        <v>0.013</v>
      </c>
      <c r="C84" s="24">
        <v>0.026</v>
      </c>
      <c r="D84" s="24">
        <v>0.027</v>
      </c>
      <c r="E84" s="77">
        <v>0.00954</v>
      </c>
      <c r="F84" s="4"/>
      <c r="G84" s="214"/>
    </row>
    <row r="85" spans="1:7" ht="15.75">
      <c r="A85" s="195">
        <v>78</v>
      </c>
      <c r="B85" s="24">
        <v>0.013</v>
      </c>
      <c r="C85" s="24">
        <v>0.026</v>
      </c>
      <c r="D85" s="24">
        <v>0.027</v>
      </c>
      <c r="E85" s="77">
        <v>0.00929</v>
      </c>
      <c r="F85" s="4"/>
      <c r="G85" s="214"/>
    </row>
    <row r="86" spans="1:7" ht="15.75">
      <c r="A86" s="195">
        <v>79</v>
      </c>
      <c r="B86" s="24">
        <v>0.013</v>
      </c>
      <c r="C86" s="24">
        <v>0.025</v>
      </c>
      <c r="D86" s="24">
        <v>0.026</v>
      </c>
      <c r="E86" s="77">
        <v>0.00929</v>
      </c>
      <c r="F86" s="4"/>
      <c r="G86" s="214"/>
    </row>
    <row r="87" spans="1:7" ht="15.75">
      <c r="A87" s="195">
        <v>80</v>
      </c>
      <c r="B87" s="24">
        <v>0.013</v>
      </c>
      <c r="C87" s="24">
        <v>0.025</v>
      </c>
      <c r="D87" s="24">
        <v>0.026</v>
      </c>
      <c r="E87" s="77">
        <v>0.00907</v>
      </c>
      <c r="F87" s="4"/>
      <c r="G87" s="214"/>
    </row>
    <row r="88" spans="1:7" ht="15.75">
      <c r="A88" s="195">
        <v>81</v>
      </c>
      <c r="B88" s="24">
        <v>0.013</v>
      </c>
      <c r="C88" s="24">
        <v>0.025</v>
      </c>
      <c r="D88" s="24">
        <v>0.026</v>
      </c>
      <c r="E88" s="77">
        <v>0.00884</v>
      </c>
      <c r="F88" s="4"/>
      <c r="G88" s="214"/>
    </row>
    <row r="89" spans="1:7" ht="15.75">
      <c r="A89" s="195">
        <v>82</v>
      </c>
      <c r="B89" s="24">
        <v>0.013</v>
      </c>
      <c r="C89" s="24">
        <v>0.024</v>
      </c>
      <c r="D89" s="24">
        <v>0.024</v>
      </c>
      <c r="E89" s="77">
        <v>0.00929</v>
      </c>
      <c r="F89" s="4"/>
      <c r="G89" s="214"/>
    </row>
    <row r="90" spans="1:7" ht="15.75">
      <c r="A90" s="195">
        <v>83</v>
      </c>
      <c r="B90" s="24">
        <v>0.013</v>
      </c>
      <c r="C90" s="24">
        <v>0.024</v>
      </c>
      <c r="D90" s="24">
        <v>0.024</v>
      </c>
      <c r="E90" s="77">
        <v>0.00907</v>
      </c>
      <c r="F90" s="4"/>
      <c r="G90" s="214"/>
    </row>
    <row r="91" spans="1:7" ht="15.75">
      <c r="A91" s="195">
        <v>84</v>
      </c>
      <c r="B91" s="24">
        <v>0.012</v>
      </c>
      <c r="C91" s="24">
        <v>0.024</v>
      </c>
      <c r="D91" s="24">
        <v>0.024</v>
      </c>
      <c r="E91" s="77">
        <v>0.00885</v>
      </c>
      <c r="F91" s="4"/>
      <c r="G91" s="214"/>
    </row>
    <row r="92" spans="1:7" ht="15.75">
      <c r="A92" s="195">
        <v>85</v>
      </c>
      <c r="B92" s="24">
        <v>0.012</v>
      </c>
      <c r="C92" s="24">
        <v>0.024</v>
      </c>
      <c r="D92" s="24">
        <v>0.024</v>
      </c>
      <c r="E92" s="77">
        <v>0.00864</v>
      </c>
      <c r="F92" s="4"/>
      <c r="G92" s="214"/>
    </row>
    <row r="93" spans="1:7" ht="15.75">
      <c r="A93" s="195">
        <v>86</v>
      </c>
      <c r="B93" s="24">
        <v>0.012</v>
      </c>
      <c r="C93" s="24">
        <v>0.023</v>
      </c>
      <c r="D93" s="24">
        <v>0.023</v>
      </c>
      <c r="E93" s="77">
        <v>0.00885</v>
      </c>
      <c r="F93" s="4"/>
      <c r="G93" s="214"/>
    </row>
    <row r="94" spans="1:7" ht="15.75">
      <c r="A94" s="195">
        <v>87</v>
      </c>
      <c r="B94" s="24">
        <v>0.012</v>
      </c>
      <c r="C94" s="24">
        <v>0.023</v>
      </c>
      <c r="D94" s="24">
        <v>0.023</v>
      </c>
      <c r="E94" s="77">
        <v>0.00864</v>
      </c>
      <c r="F94" s="4"/>
      <c r="G94" s="214"/>
    </row>
    <row r="95" spans="1:7" ht="15.75">
      <c r="A95" s="195">
        <v>88</v>
      </c>
      <c r="B95" s="24">
        <v>0.012</v>
      </c>
      <c r="C95" s="24">
        <v>0.023</v>
      </c>
      <c r="D95" s="24">
        <v>0.023</v>
      </c>
      <c r="E95" s="77">
        <v>0.00844</v>
      </c>
      <c r="F95" s="4"/>
      <c r="G95" s="214"/>
    </row>
    <row r="96" spans="1:7" ht="15.75">
      <c r="A96" s="195">
        <v>89</v>
      </c>
      <c r="B96" s="24">
        <v>0.012</v>
      </c>
      <c r="C96" s="24">
        <v>0.022</v>
      </c>
      <c r="D96" s="24">
        <v>0.022</v>
      </c>
      <c r="E96" s="77">
        <v>0.00863</v>
      </c>
      <c r="F96" s="4"/>
      <c r="G96" s="214"/>
    </row>
    <row r="97" spans="1:7" ht="15.75">
      <c r="A97" s="195">
        <v>90</v>
      </c>
      <c r="B97" s="24">
        <v>0.012</v>
      </c>
      <c r="C97" s="24">
        <v>0.022</v>
      </c>
      <c r="D97" s="24">
        <v>0.022</v>
      </c>
      <c r="E97" s="77">
        <v>0.00844</v>
      </c>
      <c r="F97" s="4"/>
      <c r="G97" s="214"/>
    </row>
    <row r="98" spans="1:7" ht="15.75">
      <c r="A98" s="195">
        <v>91</v>
      </c>
      <c r="B98" s="24">
        <v>0.011</v>
      </c>
      <c r="C98" s="24">
        <v>0.022</v>
      </c>
      <c r="D98" s="24">
        <v>0.022</v>
      </c>
      <c r="E98" s="77">
        <v>0.00825</v>
      </c>
      <c r="F98" s="4"/>
      <c r="G98" s="214"/>
    </row>
    <row r="99" spans="1:7" ht="15.75">
      <c r="A99" s="195">
        <v>92</v>
      </c>
      <c r="B99" s="24">
        <v>0.011</v>
      </c>
      <c r="C99" s="24">
        <v>0.022</v>
      </c>
      <c r="D99" s="24">
        <v>0.022</v>
      </c>
      <c r="E99" s="77">
        <v>0.00807</v>
      </c>
      <c r="F99" s="4"/>
      <c r="G99" s="214"/>
    </row>
    <row r="100" spans="1:7" ht="15.75">
      <c r="A100" s="195">
        <v>93</v>
      </c>
      <c r="B100" s="24">
        <v>0.011</v>
      </c>
      <c r="C100" s="24">
        <v>0.022</v>
      </c>
      <c r="D100" s="24">
        <v>0.022</v>
      </c>
      <c r="E100" s="77">
        <v>0.0079</v>
      </c>
      <c r="F100" s="4"/>
      <c r="G100" s="214"/>
    </row>
    <row r="101" spans="1:7" ht="15.75">
      <c r="A101" s="195">
        <v>94</v>
      </c>
      <c r="B101" s="24">
        <v>0.011</v>
      </c>
      <c r="C101" s="24">
        <v>0.021</v>
      </c>
      <c r="D101" s="24">
        <v>0.021</v>
      </c>
      <c r="E101" s="77">
        <v>0.00807</v>
      </c>
      <c r="F101" s="4"/>
      <c r="G101" s="214"/>
    </row>
    <row r="102" spans="1:7" ht="15.75">
      <c r="A102" s="195">
        <v>95</v>
      </c>
      <c r="B102" s="24">
        <v>0.011</v>
      </c>
      <c r="C102" s="24">
        <v>0.021</v>
      </c>
      <c r="D102" s="24">
        <v>0.021</v>
      </c>
      <c r="E102" s="77">
        <v>0.0079</v>
      </c>
      <c r="F102" s="4"/>
      <c r="G102" s="214"/>
    </row>
    <row r="103" spans="1:7" ht="15.75">
      <c r="A103" s="195">
        <v>96</v>
      </c>
      <c r="B103" s="24">
        <v>0.011</v>
      </c>
      <c r="C103" s="24">
        <v>0.021</v>
      </c>
      <c r="D103" s="24">
        <v>0.021</v>
      </c>
      <c r="E103" s="77">
        <v>0.00773</v>
      </c>
      <c r="F103" s="4"/>
      <c r="G103" s="214"/>
    </row>
    <row r="104" spans="1:7" ht="15.75">
      <c r="A104" s="195">
        <v>97</v>
      </c>
      <c r="B104" s="24">
        <v>0.011</v>
      </c>
      <c r="C104" s="24">
        <v>0.021</v>
      </c>
      <c r="D104" s="24">
        <v>0.021</v>
      </c>
      <c r="E104" s="77">
        <v>0.00757</v>
      </c>
      <c r="F104" s="4"/>
      <c r="G104" s="214"/>
    </row>
    <row r="105" spans="1:7" ht="15.75">
      <c r="A105" s="195">
        <v>98</v>
      </c>
      <c r="B105" s="24">
        <v>0.011</v>
      </c>
      <c r="C105" s="24">
        <v>0.02</v>
      </c>
      <c r="D105" s="24">
        <v>0.02</v>
      </c>
      <c r="E105" s="77">
        <v>0.00773</v>
      </c>
      <c r="F105" s="4"/>
      <c r="G105" s="214"/>
    </row>
    <row r="106" spans="1:7" ht="15.75">
      <c r="A106" s="195">
        <v>99</v>
      </c>
      <c r="B106" s="24">
        <v>0.011</v>
      </c>
      <c r="C106" s="24">
        <v>0.02</v>
      </c>
      <c r="D106" s="24">
        <v>0.02</v>
      </c>
      <c r="E106" s="77">
        <v>0.00757</v>
      </c>
      <c r="F106" s="4"/>
      <c r="G106" s="214"/>
    </row>
    <row r="107" spans="1:7" ht="16.5" thickBot="1">
      <c r="A107" s="153">
        <v>100</v>
      </c>
      <c r="B107" s="165">
        <v>0.01</v>
      </c>
      <c r="C107" s="165">
        <v>0.02</v>
      </c>
      <c r="D107" s="165">
        <v>0.02</v>
      </c>
      <c r="E107" s="163">
        <v>0.00742</v>
      </c>
      <c r="F107" s="4"/>
      <c r="G107" s="214"/>
    </row>
  </sheetData>
  <sheetProtection/>
  <mergeCells count="5">
    <mergeCell ref="E7:E8"/>
    <mergeCell ref="A7:A8"/>
    <mergeCell ref="B7:B8"/>
    <mergeCell ref="C7:C8"/>
    <mergeCell ref="D7: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祥吾</dc:creator>
  <cp:keywords/>
  <dc:description/>
  <cp:lastModifiedBy>木村 祥吾</cp:lastModifiedBy>
  <dcterms:created xsi:type="dcterms:W3CDTF">2022-05-16T05:01:07Z</dcterms:created>
  <dcterms:modified xsi:type="dcterms:W3CDTF">2022-05-16T05:37:46Z</dcterms:modified>
  <cp:category/>
  <cp:version/>
  <cp:contentType/>
  <cp:contentStatus/>
</cp:coreProperties>
</file>